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7" activeTab="7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 9 месяцев 2022" sheetId="8" r:id="rId8"/>
    <sheet name="Оценка за 2013 год по алфавиту)" sheetId="9" state="hidden" r:id="rId9"/>
    <sheet name="Оценка за 2013 год  посл. (2)" sheetId="10" state="hidden" r:id="rId10"/>
    <sheet name="ДИНАМИКА на  1.10.2022" sheetId="11" r:id="rId11"/>
    <sheet name="РЕЙТИНГ на 01.10.2022" sheetId="12" r:id="rId12"/>
    <sheet name="Диаграмма итоги 9 месяцев 2022" sheetId="13" r:id="rId13"/>
    <sheet name="Диаграмма динамика 9 мес. 2022" sheetId="14" r:id="rId14"/>
  </sheets>
  <externalReferences>
    <externalReference r:id="rId17"/>
  </externalReferences>
  <definedNames>
    <definedName name="_xlnm.Print_Titles" localSheetId="7">' 9 месяцев 2022'!$A:$B</definedName>
    <definedName name="_xlnm.Print_Titles" localSheetId="5">'Оценка за 2013 год'!$A:$B</definedName>
    <definedName name="_xlnm.Print_Titles" localSheetId="9">'Оценка за 2013 год  посл. (2)'!$A:$B</definedName>
    <definedName name="_xlnm.Print_Titles" localSheetId="0">'Оценка за 2013 год  правда'!$A:$B</definedName>
    <definedName name="_xlnm.Print_Titles" localSheetId="8">'Оценка за 2013 год по алфавиту)'!$A:$B</definedName>
    <definedName name="_xlnm.Print_Area" localSheetId="7">' 9 месяцев 2022'!$A$1:$ET$34</definedName>
    <definedName name="_xlnm.Print_Area" localSheetId="5">'Оценка за 2013 год'!$A$1:$ES$34</definedName>
    <definedName name="_xlnm.Print_Area" localSheetId="9">'Оценка за 2013 год  посл. (2)'!$A$1:$ER$34</definedName>
    <definedName name="_xlnm.Print_Area" localSheetId="0">'Оценка за 2013 год  правда'!$A$1:$EQ$34</definedName>
    <definedName name="_xlnm.Print_Area" localSheetId="8">'Оценка за 2013 год по алфавиту)'!$A$1:$EX$35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AO10" authorId="0">
      <text>
        <r>
          <rPr>
            <sz val="20"/>
            <rFont val="Times New Roman"/>
            <family val="1"/>
          </rPr>
          <t>весь столбик без учета межбюджетных трансфертов</t>
        </r>
      </text>
    </comment>
    <comment ref="AY10" authorId="0">
      <text>
        <r>
          <rPr>
            <sz val="20"/>
            <rFont val="Times New Roman"/>
            <family val="1"/>
          </rPr>
          <t>весь столбик без учета межбюджетных трансфертов</t>
        </r>
      </text>
    </comment>
  </commentList>
</comments>
</file>

<file path=xl/sharedStrings.xml><?xml version="1.0" encoding="utf-8"?>
<sst xmlns="http://schemas.openxmlformats.org/spreadsheetml/2006/main" count="1838" uniqueCount="198">
  <si>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</si>
  <si>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</si>
  <si>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</si>
  <si>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</si>
  <si>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</si>
  <si>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</si>
  <si>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</si>
  <si>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</si>
  <si>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</si>
  <si>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</si>
  <si>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</si>
  <si>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</si>
  <si>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</si>
  <si>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</si>
  <si>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</si>
  <si>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</si>
  <si>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</si>
  <si>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</si>
  <si>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</si>
  <si>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</si>
  <si>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</si>
  <si>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</si>
  <si>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</si>
  <si>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</si>
  <si>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</si>
  <si>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</si>
  <si>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</si>
  <si>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</si>
  <si>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</si>
  <si>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</si>
  <si>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</si>
  <si>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</si>
  <si>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</si>
  <si>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</si>
  <si>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</si>
  <si>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</si>
  <si>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</si>
  <si>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</si>
  <si>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</si>
  <si>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</si>
  <si>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</si>
  <si>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</si>
  <si>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</si>
  <si>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</si>
  <si>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</si>
  <si>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</si>
  <si>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</si>
  <si>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</si>
  <si>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</si>
  <si>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</si>
  <si>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</si>
  <si>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</si>
  <si>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</si>
  <si>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</si>
  <si>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</si>
  <si>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</si>
  <si>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</si>
  <si>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</si>
  <si>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</si>
  <si>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</si>
  <si>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</si>
  <si>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</si>
  <si>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</si>
  <si>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</si>
  <si>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</si>
  <si>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</si>
  <si>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</si>
  <si>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</si>
  <si>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</si>
  <si>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</si>
  <si>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</si>
  <si>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</si>
  <si>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</si>
  <si>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</si>
  <si>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</si>
  <si>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</si>
  <si>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</si>
  <si>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</si>
  <si>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</si>
  <si>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</si>
  <si>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</si>
  <si>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</si>
  <si>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</si>
  <si>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</si>
  <si>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</si>
  <si>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</si>
  <si>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</si>
  <si>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</si>
  <si>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</si>
  <si>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</si>
  <si>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</si>
  <si>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</si>
  <si>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</si>
  <si>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</si>
  <si>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</si>
  <si>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</si>
  <si>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</si>
  <si>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</si>
  <si>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</si>
  <si>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</si>
  <si>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</si>
  <si>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</si>
  <si>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</si>
  <si>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</si>
  <si>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</si>
  <si>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</si>
  <si>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</si>
  <si>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</si>
  <si>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</si>
  <si>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</si>
  <si>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</si>
  <si>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</si>
  <si>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</si>
  <si>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</si>
  <si>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</si>
  <si>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</si>
  <si>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</si>
  <si>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</si>
  <si>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</si>
  <si>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</si>
  <si>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</si>
  <si>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</si>
  <si>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</si>
  <si>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</si>
  <si>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</si>
  <si>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</si>
  <si>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</si>
  <si>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</si>
  <si>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</si>
  <si>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</si>
  <si>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</si>
  <si>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</si>
  <si>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</si>
  <si>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</si>
  <si>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</si>
  <si>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</si>
  <si>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</si>
  <si>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</si>
  <si>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</si>
  <si>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</si>
  <si>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</si>
  <si>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</si>
  <si>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</si>
  <si>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</si>
  <si>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</si>
  <si>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</si>
  <si>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</si>
  <si>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</si>
  <si>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</si>
  <si>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</si>
  <si>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</si>
  <si>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</si>
  <si>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</si>
  <si>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</si>
  <si>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</si>
  <si>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</si>
  <si>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</si>
  <si>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</si>
  <si>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</si>
  <si>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</si>
  <si>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</si>
  <si>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</si>
  <si>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</si>
  <si>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</si>
  <si>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</si>
  <si>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</si>
  <si>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</si>
  <si>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</si>
  <si>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</si>
  <si>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</si>
  <si>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</si>
  <si>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</si>
  <si>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</si>
  <si>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Доля расходов местного бюджета, формируемых в рамках целевых программ, в общем объеме расходов местного бюджета</t>
  </si>
  <si>
    <t>Объем бюджетных ассигнований местного бюджета на реализацию целевых программ сельских (городского) поселений, тыс. рублей</t>
  </si>
  <si>
    <t>Ошибки в уточненном решении о бюджете по расходной части бюджета</t>
  </si>
  <si>
    <t>Сроки предоставления отчета по комиссии по мобилизации доходов</t>
  </si>
  <si>
    <t>Ошибки при сдаче месячной бухгалтерской отчетности</t>
  </si>
  <si>
    <t>Проекты бюджетов</t>
  </si>
  <si>
    <t>Срок  выполнения условий соглашений о передаче полномочий</t>
  </si>
  <si>
    <t>Срок освоения дорожных фондов</t>
  </si>
  <si>
    <t xml:space="preserve"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</t>
  </si>
  <si>
    <t>Фактический объем налоговых и неналоговых доходов местного бюджета на отчетную дату за аналогичный период прошлого года в нормативах 2015 года, тыс.  руб.</t>
  </si>
  <si>
    <t>в части источников финансирования дефицита бюджета по первоначальной росписи</t>
  </si>
  <si>
    <t>-</t>
  </si>
  <si>
    <t>* без учета акцизов</t>
  </si>
  <si>
    <t>Фактический объем налоговых и неналоговых доходов местного бюджета на отчетную дату за аналогичный период прошлого года в нормативах 2018 года, тыс.  руб.</t>
  </si>
  <si>
    <t>на 01.04.2019</t>
  </si>
  <si>
    <t>Степень  соблюдения  условий софинансирования и соглашений</t>
  </si>
  <si>
    <t>СРЕДНЯЯ ОЦЕНКА</t>
  </si>
  <si>
    <t>Сроки предоставления проекта бюджета поселения на 2021-2023 годы</t>
  </si>
  <si>
    <t>на 01.06.2020</t>
  </si>
  <si>
    <t>Плановый размер дефицита бюджета сельского (городского) поселения за отчетный период на 01.10.2020, тыс. рублей</t>
  </si>
  <si>
    <t>Плановый размер дефицита бюджета сельского (городского) поселения за отчетный период на 01.10.2019, тыс. рублей</t>
  </si>
  <si>
    <t>Ошибки в расшифровке поступлений по отделынм прочим доходам</t>
  </si>
  <si>
    <t>Место в рейтинге на 01.10.2021</t>
  </si>
  <si>
    <t>Место в рейтинге на 01.10.2022</t>
  </si>
  <si>
    <t>ВСЕГО на 01.10.2022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</si>
</sst>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color indexed="13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sz val="11"/>
      <color theme="1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double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dotted"/>
      <top style="medium"/>
      <bottom/>
    </border>
    <border>
      <left style="medium"/>
      <right style="dotted"/>
      <top style="dashed"/>
      <bottom style="dashed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tted"/>
      <right style="medium"/>
      <top style="medium"/>
      <bottom/>
    </border>
    <border>
      <left style="dotted"/>
      <right style="medium"/>
      <top style="dashed"/>
      <bottom style="dash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</borders>
  <cellStyleXfs count="1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80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932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932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932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932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91" fontId="30" fillId="0" borderId="13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wrapText="1"/>
    </xf>
    <xf numFmtId="176" fontId="32" fillId="0" borderId="0" xfId="0" applyNumberFormat="1" applyFont="1" applyFill="1" applyBorder="1" applyAlignment="1">
      <alignment wrapText="1"/>
    </xf>
    <xf numFmtId="43" fontId="30" fillId="0" borderId="0" xfId="1437" applyFont="1" applyFill="1" applyBorder="1" applyAlignment="1">
      <alignment wrapText="1"/>
    </xf>
    <xf numFmtId="181" fontId="24" fillId="4" borderId="72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vertical="center" wrapText="1"/>
    </xf>
    <xf numFmtId="176" fontId="30" fillId="24" borderId="74" xfId="0" applyNumberFormat="1" applyFont="1" applyFill="1" applyBorder="1" applyAlignment="1">
      <alignment horizontal="center" vertical="center" wrapText="1"/>
    </xf>
    <xf numFmtId="191" fontId="30" fillId="0" borderId="74" xfId="0" applyNumberFormat="1" applyFont="1" applyFill="1" applyBorder="1" applyAlignment="1">
      <alignment horizontal="center" vertical="center" wrapText="1"/>
    </xf>
    <xf numFmtId="190" fontId="30" fillId="24" borderId="75" xfId="0" applyNumberFormat="1" applyFont="1" applyFill="1" applyBorder="1" applyAlignment="1">
      <alignment horizontal="center" vertical="center" wrapText="1"/>
    </xf>
    <xf numFmtId="191" fontId="30" fillId="0" borderId="74" xfId="0" applyNumberFormat="1" applyFont="1" applyFill="1" applyBorder="1" applyAlignment="1">
      <alignment horizontal="center" vertical="center"/>
    </xf>
    <xf numFmtId="0" fontId="30" fillId="24" borderId="74" xfId="0" applyNumberFormat="1" applyFont="1" applyFill="1" applyBorder="1" applyAlignment="1">
      <alignment horizontal="center" vertical="center" wrapText="1"/>
    </xf>
    <xf numFmtId="10" fontId="30" fillId="0" borderId="74" xfId="0" applyNumberFormat="1" applyFont="1" applyFill="1" applyBorder="1" applyAlignment="1">
      <alignment horizontal="center" vertical="center"/>
    </xf>
    <xf numFmtId="176" fontId="30" fillId="0" borderId="74" xfId="0" applyNumberFormat="1" applyFont="1" applyFill="1" applyBorder="1" applyAlignment="1">
      <alignment horizontal="center" vertical="center" wrapText="1"/>
    </xf>
    <xf numFmtId="176" fontId="30" fillId="0" borderId="74" xfId="0" applyNumberFormat="1" applyFont="1" applyFill="1" applyBorder="1" applyAlignment="1">
      <alignment vertical="center" wrapText="1"/>
    </xf>
    <xf numFmtId="1" fontId="30" fillId="0" borderId="74" xfId="0" applyNumberFormat="1" applyFont="1" applyFill="1" applyBorder="1" applyAlignment="1">
      <alignment horizontal="center" vertical="center" wrapText="1"/>
    </xf>
    <xf numFmtId="176" fontId="24" fillId="0" borderId="74" xfId="0" applyNumberFormat="1" applyFont="1" applyFill="1" applyBorder="1" applyAlignment="1">
      <alignment horizontal="center" vertical="center" wrapText="1"/>
    </xf>
    <xf numFmtId="181" fontId="30" fillId="24" borderId="74" xfId="0" applyNumberFormat="1" applyFont="1" applyFill="1" applyBorder="1" applyAlignment="1">
      <alignment horizontal="center" vertical="center" wrapText="1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0" fontId="24" fillId="4" borderId="76" xfId="0" applyFont="1" applyFill="1" applyBorder="1" applyAlignment="1">
      <alignment horizontal="center" wrapText="1"/>
    </xf>
    <xf numFmtId="0" fontId="24" fillId="4" borderId="72" xfId="0" applyFont="1" applyFill="1" applyBorder="1" applyAlignment="1">
      <alignment/>
    </xf>
    <xf numFmtId="176" fontId="24" fillId="4" borderId="72" xfId="0" applyNumberFormat="1" applyFont="1" applyFill="1" applyBorder="1" applyAlignment="1">
      <alignment horizontal="center" vertical="center" wrapText="1"/>
    </xf>
    <xf numFmtId="191" fontId="24" fillId="4" borderId="72" xfId="0" applyNumberFormat="1" applyFont="1" applyFill="1" applyBorder="1" applyAlignment="1">
      <alignment horizontal="center" vertical="center" wrapText="1"/>
    </xf>
    <xf numFmtId="181" fontId="24" fillId="4" borderId="72" xfId="0" applyNumberFormat="1" applyFont="1" applyFill="1" applyBorder="1" applyAlignment="1">
      <alignment vertical="center"/>
    </xf>
    <xf numFmtId="191" fontId="24" fillId="4" borderId="72" xfId="0" applyNumberFormat="1" applyFont="1" applyFill="1" applyBorder="1" applyAlignment="1">
      <alignment horizontal="center" vertical="center"/>
    </xf>
    <xf numFmtId="176" fontId="24" fillId="4" borderId="72" xfId="0" applyNumberFormat="1" applyFont="1" applyFill="1" applyBorder="1" applyAlignment="1">
      <alignment horizontal="center" vertical="center"/>
    </xf>
    <xf numFmtId="10" fontId="24" fillId="4" borderId="72" xfId="0" applyNumberFormat="1" applyFont="1" applyFill="1" applyBorder="1" applyAlignment="1">
      <alignment horizontal="center" vertical="center"/>
    </xf>
    <xf numFmtId="181" fontId="24" fillId="4" borderId="72" xfId="0" applyNumberFormat="1" applyFont="1" applyFill="1" applyBorder="1" applyAlignment="1">
      <alignment/>
    </xf>
    <xf numFmtId="181" fontId="24" fillId="4" borderId="72" xfId="0" applyNumberFormat="1" applyFont="1" applyFill="1" applyBorder="1" applyAlignment="1">
      <alignment wrapText="1"/>
    </xf>
    <xf numFmtId="176" fontId="24" fillId="4" borderId="72" xfId="0" applyNumberFormat="1" applyFont="1" applyFill="1" applyBorder="1" applyAlignment="1">
      <alignment vertical="center" wrapText="1"/>
    </xf>
    <xf numFmtId="1" fontId="24" fillId="4" borderId="72" xfId="769" applyNumberFormat="1" applyFont="1" applyFill="1" applyBorder="1" applyAlignment="1">
      <alignment horizontal="center" vertical="center" wrapText="1"/>
      <protection/>
    </xf>
    <xf numFmtId="176" fontId="24" fillId="4" borderId="72" xfId="769" applyNumberFormat="1" applyFont="1" applyFill="1" applyBorder="1" applyAlignment="1">
      <alignment horizontal="center" vertical="center" wrapText="1"/>
      <protection/>
    </xf>
    <xf numFmtId="1" fontId="24" fillId="4" borderId="72" xfId="0" applyNumberFormat="1" applyFont="1" applyFill="1" applyBorder="1" applyAlignment="1">
      <alignment horizontal="center" vertical="center" wrapText="1"/>
    </xf>
    <xf numFmtId="176" fontId="24" fillId="4" borderId="77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wrapText="1"/>
    </xf>
    <xf numFmtId="43" fontId="30" fillId="0" borderId="13" xfId="1437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 wrapText="1"/>
    </xf>
    <xf numFmtId="176" fontId="30" fillId="24" borderId="13" xfId="0" applyNumberFormat="1" applyFont="1" applyFill="1" applyBorder="1" applyAlignment="1">
      <alignment horizontal="center" vertical="center" wrapText="1"/>
    </xf>
    <xf numFmtId="43" fontId="30" fillId="0" borderId="13" xfId="1437" applyFont="1" applyFill="1" applyBorder="1" applyAlignment="1">
      <alignment horizontal="center" vertical="center" wrapText="1"/>
    </xf>
    <xf numFmtId="190" fontId="30" fillId="24" borderId="13" xfId="0" applyNumberFormat="1" applyFont="1" applyFill="1" applyBorder="1" applyAlignment="1">
      <alignment horizontal="center" vertical="center" wrapText="1"/>
    </xf>
    <xf numFmtId="0" fontId="30" fillId="24" borderId="13" xfId="0" applyNumberFormat="1" applyFont="1" applyFill="1" applyBorder="1" applyAlignment="1">
      <alignment horizontal="center" vertical="center" wrapText="1"/>
    </xf>
    <xf numFmtId="1" fontId="30" fillId="24" borderId="13" xfId="0" applyNumberFormat="1" applyFont="1" applyFill="1" applyBorder="1" applyAlignment="1">
      <alignment horizontal="center" vertical="center" wrapText="1"/>
    </xf>
    <xf numFmtId="43" fontId="30" fillId="24" borderId="13" xfId="1437" applyFont="1" applyFill="1" applyBorder="1" applyAlignment="1">
      <alignment horizontal="center" vertical="center" wrapText="1"/>
    </xf>
    <xf numFmtId="176" fontId="30" fillId="24" borderId="13" xfId="0" applyNumberFormat="1" applyFont="1" applyFill="1" applyBorder="1" applyAlignment="1">
      <alignment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81" fontId="30" fillId="24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43" fontId="30" fillId="0" borderId="13" xfId="1437" applyFont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10" fontId="30" fillId="0" borderId="78" xfId="0" applyNumberFormat="1" applyFont="1" applyFill="1" applyBorder="1" applyAlignment="1">
      <alignment horizontal="center" vertical="center"/>
    </xf>
    <xf numFmtId="10" fontId="30" fillId="0" borderId="22" xfId="0" applyNumberFormat="1" applyFont="1" applyFill="1" applyBorder="1" applyAlignment="1">
      <alignment horizontal="center" vertical="center"/>
    </xf>
    <xf numFmtId="10" fontId="30" fillId="28" borderId="22" xfId="0" applyNumberFormat="1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176" fontId="30" fillId="24" borderId="80" xfId="0" applyNumberFormat="1" applyFont="1" applyFill="1" applyBorder="1" applyAlignment="1">
      <alignment horizontal="center" vertical="center" wrapText="1"/>
    </xf>
    <xf numFmtId="176" fontId="30" fillId="24" borderId="24" xfId="0" applyNumberFormat="1" applyFont="1" applyFill="1" applyBorder="1" applyAlignment="1">
      <alignment horizontal="center" vertical="center" wrapText="1"/>
    </xf>
    <xf numFmtId="190" fontId="30" fillId="0" borderId="74" xfId="0" applyNumberFormat="1" applyFont="1" applyFill="1" applyBorder="1" applyAlignment="1">
      <alignment horizontal="center" vertical="center" wrapText="1"/>
    </xf>
    <xf numFmtId="190" fontId="23" fillId="28" borderId="13" xfId="0" applyNumberFormat="1" applyFont="1" applyFill="1" applyBorder="1" applyAlignment="1" applyProtection="1">
      <alignment horizontal="center" vertical="center" wrapText="1"/>
      <protection locked="0"/>
    </xf>
    <xf numFmtId="190" fontId="30" fillId="0" borderId="13" xfId="1437" applyNumberFormat="1" applyFont="1" applyFill="1" applyBorder="1" applyAlignment="1">
      <alignment horizontal="center" vertical="center" wrapText="1"/>
    </xf>
    <xf numFmtId="190" fontId="30" fillId="0" borderId="13" xfId="0" applyNumberFormat="1" applyFont="1" applyFill="1" applyBorder="1" applyAlignment="1">
      <alignment horizontal="center" vertical="center" wrapText="1"/>
    </xf>
    <xf numFmtId="4" fontId="24" fillId="4" borderId="72" xfId="0" applyNumberFormat="1" applyFont="1" applyFill="1" applyBorder="1" applyAlignment="1">
      <alignment horizontal="center" vertical="center"/>
    </xf>
    <xf numFmtId="2" fontId="24" fillId="4" borderId="72" xfId="0" applyNumberFormat="1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23" borderId="69" xfId="0" applyFont="1" applyFill="1" applyBorder="1" applyAlignment="1">
      <alignment horizontal="center" vertical="center" wrapText="1"/>
    </xf>
    <xf numFmtId="0" fontId="26" fillId="23" borderId="70" xfId="0" applyFont="1" applyFill="1" applyBorder="1" applyAlignment="1">
      <alignment horizontal="center" vertical="center" wrapText="1"/>
    </xf>
    <xf numFmtId="181" fontId="30" fillId="24" borderId="0" xfId="0" applyNumberFormat="1" applyFont="1" applyFill="1" applyBorder="1" applyAlignment="1">
      <alignment horizontal="center" vertical="center" wrapText="1"/>
    </xf>
    <xf numFmtId="181" fontId="30" fillId="24" borderId="81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176" fontId="4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182" fontId="23" fillId="0" borderId="12" xfId="836" applyNumberFormat="1" applyFont="1" applyFill="1" applyBorder="1" applyAlignment="1" applyProtection="1">
      <alignment horizontal="right" vertical="center"/>
      <protection hidden="1"/>
    </xf>
    <xf numFmtId="182" fontId="23" fillId="0" borderId="13" xfId="847" applyNumberFormat="1" applyFont="1" applyFill="1" applyBorder="1" applyAlignment="1" applyProtection="1">
      <alignment horizontal="right" vertical="center"/>
      <protection hidden="1"/>
    </xf>
    <xf numFmtId="182" fontId="23" fillId="0" borderId="13" xfId="858" applyNumberFormat="1" applyFont="1" applyFill="1" applyBorder="1" applyAlignment="1" applyProtection="1">
      <alignment horizontal="right" vertical="center"/>
      <protection hidden="1"/>
    </xf>
    <xf numFmtId="182" fontId="23" fillId="0" borderId="13" xfId="759" applyNumberFormat="1" applyFont="1" applyFill="1" applyBorder="1" applyAlignment="1" applyProtection="1">
      <alignment horizontal="right" vertical="center"/>
      <protection hidden="1"/>
    </xf>
    <xf numFmtId="182" fontId="23" fillId="0" borderId="13" xfId="760" applyNumberFormat="1" applyFont="1" applyFill="1" applyBorder="1" applyAlignment="1" applyProtection="1">
      <alignment horizontal="right" vertical="center"/>
      <protection hidden="1"/>
    </xf>
    <xf numFmtId="182" fontId="23" fillId="0" borderId="13" xfId="761" applyNumberFormat="1" applyFont="1" applyFill="1" applyBorder="1" applyAlignment="1" applyProtection="1">
      <alignment horizontal="right" vertical="center"/>
      <protection hidden="1"/>
    </xf>
    <xf numFmtId="182" fontId="23" fillId="0" borderId="13" xfId="762" applyNumberFormat="1" applyFont="1" applyFill="1" applyBorder="1" applyAlignment="1" applyProtection="1">
      <alignment horizontal="right" vertical="center"/>
      <protection hidden="1"/>
    </xf>
    <xf numFmtId="182" fontId="23" fillId="0" borderId="13" xfId="763" applyNumberFormat="1" applyFont="1" applyFill="1" applyBorder="1" applyAlignment="1" applyProtection="1">
      <alignment horizontal="right" vertical="center"/>
      <protection hidden="1"/>
    </xf>
    <xf numFmtId="182" fontId="23" fillId="0" borderId="13" xfId="764" applyNumberFormat="1" applyFont="1" applyFill="1" applyBorder="1" applyAlignment="1" applyProtection="1">
      <alignment horizontal="right" vertical="center"/>
      <protection hidden="1"/>
    </xf>
    <xf numFmtId="182" fontId="23" fillId="0" borderId="13" xfId="770" applyNumberFormat="1" applyFont="1" applyFill="1" applyBorder="1" applyAlignment="1" applyProtection="1">
      <alignment horizontal="right" vertical="center"/>
      <protection hidden="1"/>
    </xf>
    <xf numFmtId="182" fontId="23" fillId="0" borderId="13" xfId="771" applyNumberFormat="1" applyFont="1" applyFill="1" applyBorder="1" applyAlignment="1" applyProtection="1">
      <alignment horizontal="right" vertical="center"/>
      <protection hidden="1"/>
    </xf>
    <xf numFmtId="182" fontId="23" fillId="0" borderId="13" xfId="772" applyNumberFormat="1" applyFont="1" applyFill="1" applyBorder="1" applyAlignment="1" applyProtection="1">
      <alignment horizontal="right" vertical="center"/>
      <protection hidden="1"/>
    </xf>
    <xf numFmtId="182" fontId="23" fillId="0" borderId="13" xfId="773" applyNumberFormat="1" applyFont="1" applyFill="1" applyBorder="1" applyAlignment="1" applyProtection="1">
      <alignment horizontal="right" vertical="center"/>
      <protection hidden="1"/>
    </xf>
    <xf numFmtId="182" fontId="23" fillId="0" borderId="13" xfId="774" applyNumberFormat="1" applyFont="1" applyFill="1" applyBorder="1" applyAlignment="1" applyProtection="1">
      <alignment horizontal="right" vertical="center"/>
      <protection hidden="1"/>
    </xf>
    <xf numFmtId="182" fontId="23" fillId="0" borderId="13" xfId="775" applyNumberFormat="1" applyFont="1" applyFill="1" applyBorder="1" applyAlignment="1" applyProtection="1">
      <alignment horizontal="right" vertical="center"/>
      <protection hidden="1"/>
    </xf>
    <xf numFmtId="182" fontId="23" fillId="0" borderId="13" xfId="776" applyNumberFormat="1" applyFont="1" applyFill="1" applyBorder="1" applyAlignment="1" applyProtection="1">
      <alignment horizontal="right" vertical="center"/>
      <protection hidden="1"/>
    </xf>
    <xf numFmtId="182" fontId="23" fillId="0" borderId="13" xfId="777" applyNumberFormat="1" applyFont="1" applyFill="1" applyBorder="1" applyAlignment="1" applyProtection="1">
      <alignment horizontal="right" vertical="center"/>
      <protection hidden="1"/>
    </xf>
    <xf numFmtId="182" fontId="23" fillId="0" borderId="13" xfId="778" applyNumberFormat="1" applyFont="1" applyFill="1" applyBorder="1" applyAlignment="1" applyProtection="1">
      <alignment horizontal="right" vertical="center"/>
      <protection hidden="1"/>
    </xf>
    <xf numFmtId="182" fontId="30" fillId="0" borderId="82" xfId="799" applyNumberFormat="1" applyFont="1" applyFill="1" applyBorder="1" applyAlignment="1" applyProtection="1">
      <alignment horizontal="right" vertical="center"/>
      <protection hidden="1"/>
    </xf>
    <xf numFmtId="182" fontId="30" fillId="0" borderId="22" xfId="799" applyNumberFormat="1" applyFont="1" applyFill="1" applyBorder="1" applyAlignment="1" applyProtection="1">
      <alignment horizontal="right" vertical="center"/>
      <protection hidden="1"/>
    </xf>
    <xf numFmtId="190" fontId="30" fillId="0" borderId="22" xfId="0" applyNumberFormat="1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/>
    </xf>
    <xf numFmtId="190" fontId="30" fillId="0" borderId="13" xfId="0" applyNumberFormat="1" applyFont="1" applyFill="1" applyBorder="1" applyAlignment="1">
      <alignment horizontal="center" vertical="center"/>
    </xf>
    <xf numFmtId="2" fontId="30" fillId="24" borderId="13" xfId="0" applyNumberFormat="1" applyFont="1" applyFill="1" applyBorder="1" applyAlignment="1">
      <alignment horizontal="center" vertical="center"/>
    </xf>
    <xf numFmtId="190" fontId="30" fillId="0" borderId="26" xfId="0" applyNumberFormat="1" applyFont="1" applyFill="1" applyBorder="1" applyAlignment="1">
      <alignment horizontal="center" vertical="center"/>
    </xf>
    <xf numFmtId="205" fontId="30" fillId="0" borderId="13" xfId="0" applyNumberFormat="1" applyFont="1" applyBorder="1" applyAlignment="1">
      <alignment/>
    </xf>
    <xf numFmtId="4" fontId="30" fillId="24" borderId="18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 applyProtection="1">
      <alignment horizontal="right" vertical="center"/>
      <protection locked="0"/>
    </xf>
    <xf numFmtId="2" fontId="30" fillId="24" borderId="13" xfId="0" applyNumberFormat="1" applyFont="1" applyFill="1" applyBorder="1" applyAlignment="1">
      <alignment horizontal="center" vertical="center" wrapText="1"/>
    </xf>
    <xf numFmtId="201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78" xfId="0" applyNumberFormat="1" applyFont="1" applyFill="1" applyBorder="1" applyAlignment="1">
      <alignment horizontal="center" vertical="center"/>
    </xf>
    <xf numFmtId="0" fontId="30" fillId="24" borderId="22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vertical="center"/>
    </xf>
    <xf numFmtId="181" fontId="30" fillId="0" borderId="13" xfId="0" applyNumberFormat="1" applyFont="1" applyFill="1" applyBorder="1" applyAlignment="1">
      <alignment wrapText="1"/>
    </xf>
    <xf numFmtId="181" fontId="30" fillId="0" borderId="74" xfId="0" applyNumberFormat="1" applyFont="1" applyFill="1" applyBorder="1" applyAlignment="1">
      <alignment wrapText="1"/>
    </xf>
    <xf numFmtId="176" fontId="30" fillId="0" borderId="18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30" fillId="0" borderId="81" xfId="0" applyNumberFormat="1" applyFont="1" applyFill="1" applyBorder="1" applyAlignment="1">
      <alignment horizontal="center" vertical="center" wrapText="1"/>
    </xf>
    <xf numFmtId="1" fontId="30" fillId="0" borderId="78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90" fontId="30" fillId="29" borderId="13" xfId="0" applyNumberFormat="1" applyFont="1" applyFill="1" applyBorder="1" applyAlignment="1" applyProtection="1">
      <alignment horizontal="center" vertical="center" wrapText="1"/>
      <protection locked="0"/>
    </xf>
    <xf numFmtId="181" fontId="30" fillId="29" borderId="13" xfId="0" applyNumberFormat="1" applyFont="1" applyFill="1" applyBorder="1" applyAlignment="1">
      <alignment horizontal="center" vertical="center"/>
    </xf>
    <xf numFmtId="181" fontId="30" fillId="29" borderId="18" xfId="0" applyNumberFormat="1" applyFont="1" applyFill="1" applyBorder="1" applyAlignment="1">
      <alignment wrapText="1"/>
    </xf>
    <xf numFmtId="2" fontId="30" fillId="0" borderId="83" xfId="0" applyNumberFormat="1" applyFont="1" applyFill="1" applyBorder="1" applyAlignment="1">
      <alignment/>
    </xf>
    <xf numFmtId="2" fontId="30" fillId="0" borderId="78" xfId="0" applyNumberFormat="1" applyFont="1" applyFill="1" applyBorder="1" applyAlignment="1">
      <alignment horizontal="center" vertical="center" wrapText="1"/>
    </xf>
    <xf numFmtId="191" fontId="30" fillId="0" borderId="84" xfId="0" applyNumberFormat="1" applyFont="1" applyFill="1" applyBorder="1" applyAlignment="1">
      <alignment horizontal="center" vertical="center" wrapText="1"/>
    </xf>
    <xf numFmtId="2" fontId="30" fillId="0" borderId="85" xfId="0" applyNumberFormat="1" applyFont="1" applyFill="1" applyBorder="1" applyAlignment="1">
      <alignment/>
    </xf>
    <xf numFmtId="2" fontId="30" fillId="0" borderId="22" xfId="1437" applyNumberFormat="1" applyFont="1" applyFill="1" applyBorder="1" applyAlignment="1">
      <alignment horizontal="center" vertical="center" wrapText="1"/>
    </xf>
    <xf numFmtId="2" fontId="30" fillId="0" borderId="86" xfId="0" applyNumberFormat="1" applyFont="1" applyFill="1" applyBorder="1" applyAlignment="1">
      <alignment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87" xfId="0" applyNumberFormat="1" applyFont="1" applyFill="1" applyBorder="1" applyAlignment="1">
      <alignment/>
    </xf>
    <xf numFmtId="182" fontId="30" fillId="0" borderId="22" xfId="798" applyNumberFormat="1" applyFont="1" applyFill="1" applyBorder="1">
      <alignment/>
      <protection/>
    </xf>
    <xf numFmtId="0" fontId="30" fillId="0" borderId="80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2" fontId="30" fillId="0" borderId="74" xfId="0" applyNumberFormat="1" applyFont="1" applyFill="1" applyBorder="1" applyAlignment="1">
      <alignment horizontal="center" vertical="center" wrapText="1"/>
    </xf>
    <xf numFmtId="0" fontId="30" fillId="0" borderId="7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6" fillId="30" borderId="70" xfId="0" applyFont="1" applyFill="1" applyBorder="1" applyAlignment="1">
      <alignment horizontal="center" vertical="center" wrapText="1"/>
    </xf>
    <xf numFmtId="3" fontId="30" fillId="0" borderId="78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176" fontId="30" fillId="0" borderId="80" xfId="0" applyNumberFormat="1" applyFont="1" applyFill="1" applyBorder="1" applyAlignment="1">
      <alignment horizontal="center" vertical="center" wrapText="1"/>
    </xf>
    <xf numFmtId="182" fontId="23" fillId="0" borderId="13" xfId="870" applyNumberFormat="1" applyFont="1" applyFill="1" applyBorder="1" applyAlignment="1" applyProtection="1">
      <alignment horizontal="right" vertical="center"/>
      <protection hidden="1"/>
    </xf>
    <xf numFmtId="182" fontId="23" fillId="0" borderId="13" xfId="898" applyNumberFormat="1" applyFont="1" applyFill="1" applyBorder="1" applyAlignment="1" applyProtection="1">
      <alignment horizontal="right" vertical="center"/>
      <protection hidden="1"/>
    </xf>
    <xf numFmtId="182" fontId="23" fillId="0" borderId="13" xfId="688" applyNumberFormat="1" applyFont="1" applyFill="1" applyBorder="1" applyAlignment="1" applyProtection="1">
      <alignment horizontal="right" vertical="center"/>
      <protection hidden="1"/>
    </xf>
    <xf numFmtId="182" fontId="23" fillId="0" borderId="13" xfId="706" applyNumberFormat="1" applyFont="1" applyFill="1" applyBorder="1" applyAlignment="1" applyProtection="1">
      <alignment horizontal="right" vertical="center"/>
      <protection hidden="1"/>
    </xf>
    <xf numFmtId="182" fontId="23" fillId="0" borderId="13" xfId="724" applyNumberFormat="1" applyFont="1" applyFill="1" applyBorder="1" applyAlignment="1" applyProtection="1">
      <alignment horizontal="right" vertical="center"/>
      <protection hidden="1"/>
    </xf>
    <xf numFmtId="182" fontId="23" fillId="0" borderId="13" xfId="742" applyNumberFormat="1" applyFont="1" applyFill="1" applyBorder="1" applyAlignment="1" applyProtection="1">
      <alignment horizontal="right" vertical="center"/>
      <protection hidden="1"/>
    </xf>
    <xf numFmtId="182" fontId="30" fillId="0" borderId="13" xfId="799" applyNumberFormat="1" applyFont="1" applyFill="1" applyBorder="1" applyAlignment="1" applyProtection="1">
      <alignment horizontal="right" vertical="center"/>
      <protection hidden="1"/>
    </xf>
    <xf numFmtId="10" fontId="30" fillId="0" borderId="80" xfId="0" applyNumberFormat="1" applyFont="1" applyFill="1" applyBorder="1" applyAlignment="1">
      <alignment horizontal="center" vertical="center" wrapText="1"/>
    </xf>
    <xf numFmtId="2" fontId="30" fillId="0" borderId="74" xfId="0" applyNumberFormat="1" applyFont="1" applyFill="1" applyBorder="1" applyAlignment="1">
      <alignment vertical="center" wrapText="1"/>
    </xf>
    <xf numFmtId="10" fontId="30" fillId="0" borderId="2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vertical="center" wrapText="1"/>
    </xf>
    <xf numFmtId="176" fontId="30" fillId="29" borderId="88" xfId="0" applyNumberFormat="1" applyFont="1" applyFill="1" applyBorder="1" applyAlignment="1">
      <alignment/>
    </xf>
    <xf numFmtId="176" fontId="30" fillId="29" borderId="89" xfId="0" applyNumberFormat="1" applyFont="1" applyFill="1" applyBorder="1" applyAlignment="1">
      <alignment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181" fontId="30" fillId="0" borderId="18" xfId="0" applyNumberFormat="1" applyFont="1" applyFill="1" applyBorder="1" applyAlignment="1">
      <alignment wrapText="1"/>
    </xf>
    <xf numFmtId="181" fontId="30" fillId="0" borderId="13" xfId="0" applyNumberFormat="1" applyFont="1" applyFill="1" applyBorder="1" applyAlignment="1">
      <alignment vertical="center" wrapText="1"/>
    </xf>
    <xf numFmtId="181" fontId="24" fillId="0" borderId="72" xfId="0" applyNumberFormat="1" applyFont="1" applyFill="1" applyBorder="1" applyAlignment="1">
      <alignment vertical="center"/>
    </xf>
    <xf numFmtId="4" fontId="14" fillId="0" borderId="22" xfId="933" applyNumberFormat="1" applyFont="1" applyFill="1" applyBorder="1" applyAlignment="1">
      <alignment horizontal="center" vertical="center" wrapText="1"/>
      <protection/>
    </xf>
    <xf numFmtId="2" fontId="24" fillId="0" borderId="72" xfId="0" applyNumberFormat="1" applyFont="1" applyFill="1" applyBorder="1" applyAlignment="1">
      <alignment vertical="center" wrapText="1"/>
    </xf>
    <xf numFmtId="191" fontId="24" fillId="0" borderId="72" xfId="0" applyNumberFormat="1" applyFont="1" applyFill="1" applyBorder="1" applyAlignment="1">
      <alignment horizontal="center" vertical="center" wrapText="1"/>
    </xf>
    <xf numFmtId="176" fontId="24" fillId="0" borderId="72" xfId="0" applyNumberFormat="1" applyFont="1" applyFill="1" applyBorder="1" applyAlignment="1">
      <alignment horizontal="center" vertical="center" wrapText="1"/>
    </xf>
    <xf numFmtId="176" fontId="30" fillId="0" borderId="72" xfId="0" applyNumberFormat="1" applyFont="1" applyFill="1" applyBorder="1" applyAlignment="1">
      <alignment horizontal="center" vertical="center" wrapText="1"/>
    </xf>
    <xf numFmtId="181" fontId="24" fillId="0" borderId="72" xfId="0" applyNumberFormat="1" applyFont="1" applyFill="1" applyBorder="1" applyAlignment="1">
      <alignment vertical="center" wrapText="1"/>
    </xf>
    <xf numFmtId="182" fontId="24" fillId="0" borderId="72" xfId="0" applyNumberFormat="1" applyFont="1" applyFill="1" applyBorder="1" applyAlignment="1">
      <alignment vertical="center" wrapText="1"/>
    </xf>
    <xf numFmtId="182" fontId="24" fillId="0" borderId="90" xfId="0" applyNumberFormat="1" applyFont="1" applyFill="1" applyBorder="1" applyAlignment="1">
      <alignment vertical="center" wrapText="1"/>
    </xf>
    <xf numFmtId="176" fontId="24" fillId="0" borderId="91" xfId="0" applyNumberFormat="1" applyFont="1" applyFill="1" applyBorder="1" applyAlignment="1">
      <alignment horizontal="center" vertical="center" wrapText="1"/>
    </xf>
    <xf numFmtId="2" fontId="24" fillId="0" borderId="72" xfId="0" applyNumberFormat="1" applyFont="1" applyFill="1" applyBorder="1" applyAlignment="1">
      <alignment horizontal="center" vertical="center" wrapText="1"/>
    </xf>
    <xf numFmtId="181" fontId="24" fillId="0" borderId="90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0" fontId="24" fillId="0" borderId="72" xfId="0" applyNumberFormat="1" applyFont="1" applyFill="1" applyBorder="1" applyAlignment="1">
      <alignment horizontal="center" vertical="center" wrapText="1"/>
    </xf>
    <xf numFmtId="4" fontId="24" fillId="0" borderId="72" xfId="0" applyNumberFormat="1" applyFont="1" applyFill="1" applyBorder="1" applyAlignment="1">
      <alignment vertical="center" wrapText="1"/>
    </xf>
    <xf numFmtId="4" fontId="24" fillId="0" borderId="72" xfId="0" applyNumberFormat="1" applyFont="1" applyFill="1" applyBorder="1" applyAlignment="1">
      <alignment horizontal="center" vertical="center" wrapText="1"/>
    </xf>
    <xf numFmtId="4" fontId="14" fillId="0" borderId="78" xfId="933" applyNumberFormat="1" applyFont="1" applyFill="1" applyBorder="1" applyAlignment="1">
      <alignment horizontal="center" vertical="center" wrapText="1"/>
      <protection/>
    </xf>
    <xf numFmtId="176" fontId="30" fillId="29" borderId="92" xfId="0" applyNumberFormat="1" applyFont="1" applyFill="1" applyBorder="1" applyAlignment="1">
      <alignment/>
    </xf>
    <xf numFmtId="176" fontId="30" fillId="29" borderId="93" xfId="0" applyNumberFormat="1" applyFont="1" applyFill="1" applyBorder="1" applyAlignment="1">
      <alignment/>
    </xf>
    <xf numFmtId="176" fontId="24" fillId="0" borderId="41" xfId="0" applyNumberFormat="1" applyFont="1" applyFill="1" applyBorder="1" applyAlignment="1">
      <alignment/>
    </xf>
    <xf numFmtId="176" fontId="24" fillId="0" borderId="49" xfId="0" applyNumberFormat="1" applyFont="1" applyFill="1" applyBorder="1" applyAlignment="1">
      <alignment/>
    </xf>
    <xf numFmtId="0" fontId="30" fillId="29" borderId="94" xfId="0" applyFont="1" applyFill="1" applyBorder="1" applyAlignment="1">
      <alignment/>
    </xf>
    <xf numFmtId="176" fontId="30" fillId="29" borderId="95" xfId="0" applyNumberFormat="1" applyFont="1" applyFill="1" applyBorder="1" applyAlignment="1">
      <alignment/>
    </xf>
    <xf numFmtId="0" fontId="30" fillId="29" borderId="58" xfId="0" applyFont="1" applyFill="1" applyBorder="1" applyAlignment="1">
      <alignment/>
    </xf>
    <xf numFmtId="176" fontId="30" fillId="29" borderId="57" xfId="0" applyNumberFormat="1" applyFont="1" applyFill="1" applyBorder="1" applyAlignment="1">
      <alignment/>
    </xf>
    <xf numFmtId="0" fontId="30" fillId="29" borderId="96" xfId="0" applyFont="1" applyFill="1" applyBorder="1" applyAlignment="1">
      <alignment/>
    </xf>
    <xf numFmtId="1" fontId="30" fillId="29" borderId="94" xfId="0" applyNumberFormat="1" applyFont="1" applyFill="1" applyBorder="1" applyAlignment="1">
      <alignment/>
    </xf>
    <xf numFmtId="1" fontId="30" fillId="29" borderId="58" xfId="0" applyNumberFormat="1" applyFont="1" applyFill="1" applyBorder="1" applyAlignment="1">
      <alignment/>
    </xf>
    <xf numFmtId="1" fontId="24" fillId="0" borderId="41" xfId="723" applyNumberFormat="1" applyFont="1" applyFill="1" applyBorder="1" applyAlignment="1">
      <alignment/>
      <protection/>
    </xf>
    <xf numFmtId="176" fontId="24" fillId="0" borderId="49" xfId="723" applyNumberFormat="1" applyFont="1" applyFill="1" applyBorder="1" applyAlignment="1">
      <alignment/>
      <protection/>
    </xf>
    <xf numFmtId="176" fontId="30" fillId="29" borderId="94" xfId="0" applyNumberFormat="1" applyFont="1" applyFill="1" applyBorder="1" applyAlignment="1">
      <alignment/>
    </xf>
    <xf numFmtId="176" fontId="30" fillId="29" borderId="58" xfId="0" applyNumberFormat="1" applyFont="1" applyFill="1" applyBorder="1" applyAlignment="1">
      <alignment/>
    </xf>
    <xf numFmtId="176" fontId="30" fillId="29" borderId="96" xfId="0" applyNumberFormat="1" applyFont="1" applyFill="1" applyBorder="1" applyAlignment="1">
      <alignment/>
    </xf>
    <xf numFmtId="1" fontId="30" fillId="0" borderId="78" xfId="0" applyNumberFormat="1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176" fontId="30" fillId="24" borderId="78" xfId="0" applyNumberFormat="1" applyFont="1" applyFill="1" applyBorder="1" applyAlignment="1">
      <alignment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24" borderId="0" xfId="0" applyNumberFormat="1" applyFont="1" applyFill="1" applyBorder="1" applyAlignment="1">
      <alignment horizontal="center" vertical="center" wrapText="1"/>
    </xf>
    <xf numFmtId="43" fontId="30" fillId="24" borderId="24" xfId="1437" applyFont="1" applyFill="1" applyBorder="1" applyAlignment="1">
      <alignment horizontal="center" vertical="center" wrapText="1"/>
    </xf>
    <xf numFmtId="176" fontId="30" fillId="24" borderId="22" xfId="0" applyNumberFormat="1" applyFont="1" applyFill="1" applyBorder="1" applyAlignment="1">
      <alignment vertical="center" wrapText="1"/>
    </xf>
    <xf numFmtId="176" fontId="30" fillId="0" borderId="81" xfId="0" applyNumberFormat="1" applyFont="1" applyFill="1" applyBorder="1" applyAlignment="1">
      <alignment horizontal="center" vertical="center" wrapText="1"/>
    </xf>
    <xf numFmtId="0" fontId="30" fillId="28" borderId="74" xfId="0" applyFont="1" applyFill="1" applyBorder="1" applyAlignment="1">
      <alignment vertical="center" wrapText="1"/>
    </xf>
    <xf numFmtId="0" fontId="30" fillId="28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199" fontId="30" fillId="24" borderId="13" xfId="1437" applyNumberFormat="1" applyFont="1" applyFill="1" applyBorder="1" applyAlignment="1">
      <alignment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horizontal="center" vertical="center" wrapText="1"/>
    </xf>
    <xf numFmtId="176" fontId="29" fillId="24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82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10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05" xfId="0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 horizontal="center" vertical="center" wrapText="1"/>
    </xf>
    <xf numFmtId="0" fontId="26" fillId="24" borderId="107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10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6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5" xfId="0" applyFont="1" applyFill="1" applyBorder="1" applyAlignment="1">
      <alignment horizontal="center" vertical="center" wrapText="1"/>
    </xf>
    <xf numFmtId="0" fontId="28" fillId="0" borderId="10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 wrapText="1"/>
    </xf>
    <xf numFmtId="0" fontId="28" fillId="24" borderId="82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105" xfId="0" applyFont="1" applyFill="1" applyBorder="1" applyAlignment="1">
      <alignment horizontal="center" vertical="center" wrapText="1"/>
    </xf>
    <xf numFmtId="0" fontId="26" fillId="17" borderId="106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107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94" xfId="0" applyFont="1" applyFill="1" applyBorder="1" applyAlignment="1">
      <alignment horizontal="center" vertical="center" wrapText="1"/>
    </xf>
    <xf numFmtId="0" fontId="37" fillId="24" borderId="113" xfId="0" applyFont="1" applyFill="1" applyBorder="1" applyAlignment="1">
      <alignment horizontal="center" vertical="center" wrapText="1"/>
    </xf>
    <xf numFmtId="0" fontId="37" fillId="24" borderId="95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114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115" xfId="0" applyFont="1" applyFill="1" applyBorder="1" applyAlignment="1">
      <alignment horizontal="center" vertical="center" wrapText="1"/>
    </xf>
    <xf numFmtId="0" fontId="37" fillId="24" borderId="116" xfId="0" applyFont="1" applyFill="1" applyBorder="1" applyAlignment="1">
      <alignment horizontal="center" vertical="center" wrapText="1"/>
    </xf>
    <xf numFmtId="0" fontId="37" fillId="24" borderId="117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94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113" xfId="0" applyFont="1" applyFill="1" applyBorder="1" applyAlignment="1">
      <alignment horizontal="center" vertical="center" wrapText="1"/>
    </xf>
    <xf numFmtId="0" fontId="37" fillId="0" borderId="114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center" vertical="center" wrapText="1"/>
    </xf>
    <xf numFmtId="0" fontId="37" fillId="0" borderId="116" xfId="0" applyFont="1" applyFill="1" applyBorder="1" applyAlignment="1">
      <alignment horizontal="center" vertical="center" wrapText="1"/>
    </xf>
    <xf numFmtId="0" fontId="37" fillId="0" borderId="11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4" fillId="0" borderId="118" xfId="0" applyFont="1" applyFill="1" applyBorder="1" applyAlignment="1">
      <alignment horizontal="center" vertical="center" wrapText="1"/>
    </xf>
    <xf numFmtId="0" fontId="24" fillId="0" borderId="119" xfId="0" applyFont="1" applyFill="1" applyBorder="1" applyAlignment="1">
      <alignment horizontal="center" vertical="center" wrapText="1"/>
    </xf>
    <xf numFmtId="0" fontId="24" fillId="0" borderId="120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6" fillId="17" borderId="69" xfId="0" applyFont="1" applyFill="1" applyBorder="1" applyAlignment="1">
      <alignment horizontal="center" vertical="center" wrapText="1"/>
    </xf>
    <xf numFmtId="0" fontId="26" fillId="17" borderId="70" xfId="0" applyFont="1" applyFill="1" applyBorder="1" applyAlignment="1">
      <alignment horizontal="center" vertical="center" wrapText="1"/>
    </xf>
    <xf numFmtId="0" fontId="24" fillId="17" borderId="69" xfId="0" applyFont="1" applyFill="1" applyBorder="1" applyAlignment="1">
      <alignment horizontal="center" vertical="center" wrapText="1"/>
    </xf>
    <xf numFmtId="0" fontId="24" fillId="17" borderId="70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26" fillId="10" borderId="69" xfId="0" applyFont="1" applyFill="1" applyBorder="1" applyAlignment="1">
      <alignment horizontal="center" vertical="center" wrapText="1"/>
    </xf>
    <xf numFmtId="0" fontId="26" fillId="10" borderId="70" xfId="0" applyFont="1" applyFill="1" applyBorder="1" applyAlignment="1">
      <alignment horizontal="center" vertical="center" wrapText="1"/>
    </xf>
    <xf numFmtId="0" fontId="26" fillId="30" borderId="70" xfId="0" applyFont="1" applyFill="1" applyBorder="1" applyAlignment="1">
      <alignment horizontal="center" vertical="center" wrapText="1"/>
    </xf>
    <xf numFmtId="0" fontId="26" fillId="23" borderId="69" xfId="0" applyFont="1" applyFill="1" applyBorder="1" applyAlignment="1">
      <alignment horizontal="center" vertical="center" wrapText="1"/>
    </xf>
    <xf numFmtId="0" fontId="45" fillId="17" borderId="69" xfId="0" applyFont="1" applyFill="1" applyBorder="1" applyAlignment="1">
      <alignment horizontal="center" vertical="center" wrapText="1"/>
    </xf>
    <xf numFmtId="0" fontId="45" fillId="17" borderId="7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121" xfId="0" applyFont="1" applyFill="1" applyBorder="1" applyAlignment="1">
      <alignment horizontal="center" vertical="center" wrapText="1"/>
    </xf>
    <xf numFmtId="0" fontId="26" fillId="0" borderId="122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horizontal="center" vertical="center" wrapText="1"/>
    </xf>
    <xf numFmtId="0" fontId="26" fillId="24" borderId="75" xfId="0" applyFont="1" applyFill="1" applyBorder="1" applyAlignment="1">
      <alignment horizontal="center" vertical="center" wrapText="1"/>
    </xf>
    <xf numFmtId="0" fontId="26" fillId="24" borderId="74" xfId="0" applyFont="1" applyFill="1" applyBorder="1" applyAlignment="1">
      <alignment horizontal="center" vertical="center" wrapText="1"/>
    </xf>
    <xf numFmtId="0" fontId="45" fillId="31" borderId="70" xfId="0" applyFont="1" applyFill="1" applyBorder="1" applyAlignment="1">
      <alignment horizontal="center" vertical="center" wrapText="1"/>
    </xf>
    <xf numFmtId="0" fontId="26" fillId="31" borderId="70" xfId="0" applyFont="1" applyFill="1" applyBorder="1" applyAlignment="1">
      <alignment horizontal="center" vertical="center" wrapText="1"/>
    </xf>
    <xf numFmtId="0" fontId="45" fillId="23" borderId="70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12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15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11" xfId="45"/>
    <cellStyle name="Данные (редактируемые) 12" xfId="46"/>
    <cellStyle name="Данные (редактируемые) 13" xfId="47"/>
    <cellStyle name="Данные (редактируемые) 14" xfId="48"/>
    <cellStyle name="Данные (редактируемые) 15" xfId="49"/>
    <cellStyle name="Данные (редактируемые) 16" xfId="50"/>
    <cellStyle name="Данные (редактируемые) 17" xfId="51"/>
    <cellStyle name="Данные (редактируемые) 18" xfId="52"/>
    <cellStyle name="Данные (редактируемые) 19" xfId="53"/>
    <cellStyle name="Данные (редактируемые) 2" xfId="54"/>
    <cellStyle name="Данные (редактируемые) 20" xfId="55"/>
    <cellStyle name="Данные (редактируемые) 21" xfId="56"/>
    <cellStyle name="Данные (редактируемые) 22" xfId="57"/>
    <cellStyle name="Данные (редактируемые) 23" xfId="58"/>
    <cellStyle name="Данные (редактируемые) 24" xfId="59"/>
    <cellStyle name="Данные (редактируемые) 25" xfId="60"/>
    <cellStyle name="Данные (редактируемые) 26" xfId="61"/>
    <cellStyle name="Данные (редактируемые) 27" xfId="62"/>
    <cellStyle name="Данные (редактируемые) 28" xfId="63"/>
    <cellStyle name="Данные (редактируемые) 29" xfId="64"/>
    <cellStyle name="Данные (редактируемые) 3" xfId="65"/>
    <cellStyle name="Данные (редактируемые) 30" xfId="66"/>
    <cellStyle name="Данные (редактируемые) 31" xfId="67"/>
    <cellStyle name="Данные (редактируемые) 32" xfId="68"/>
    <cellStyle name="Данные (редактируемые) 33" xfId="69"/>
    <cellStyle name="Данные (редактируемые) 34" xfId="70"/>
    <cellStyle name="Данные (редактируемые) 35" xfId="71"/>
    <cellStyle name="Данные (редактируемые) 36" xfId="72"/>
    <cellStyle name="Данные (редактируемые) 37" xfId="73"/>
    <cellStyle name="Данные (редактируемые) 38" xfId="74"/>
    <cellStyle name="Данные (редактируемые) 39" xfId="75"/>
    <cellStyle name="Данные (редактируемые) 4" xfId="76"/>
    <cellStyle name="Данные (редактируемые) 40" xfId="77"/>
    <cellStyle name="Данные (редактируемые) 41" xfId="78"/>
    <cellStyle name="Данные (редактируемые) 42" xfId="79"/>
    <cellStyle name="Данные (редактируемые) 43" xfId="80"/>
    <cellStyle name="Данные (редактируемые) 44" xfId="81"/>
    <cellStyle name="Данные (редактируемые) 45" xfId="82"/>
    <cellStyle name="Данные (редактируемые) 46" xfId="83"/>
    <cellStyle name="Данные (редактируемые) 47" xfId="84"/>
    <cellStyle name="Данные (редактируемые) 48" xfId="85"/>
    <cellStyle name="Данные (редактируемые) 49" xfId="86"/>
    <cellStyle name="Данные (редактируемые) 5" xfId="87"/>
    <cellStyle name="Данные (редактируемые) 50" xfId="88"/>
    <cellStyle name="Данные (редактируемые) 51" xfId="89"/>
    <cellStyle name="Данные (редактируемые) 52" xfId="90"/>
    <cellStyle name="Данные (редактируемые) 53" xfId="91"/>
    <cellStyle name="Данные (редактируемые) 54" xfId="92"/>
    <cellStyle name="Данные (редактируемые) 55" xfId="93"/>
    <cellStyle name="Данные (редактируемые) 56" xfId="94"/>
    <cellStyle name="Данные (редактируемые) 57" xfId="95"/>
    <cellStyle name="Данные (редактируемые) 58" xfId="96"/>
    <cellStyle name="Данные (редактируемые) 59" xfId="97"/>
    <cellStyle name="Данные (редактируемые) 6" xfId="98"/>
    <cellStyle name="Данные (редактируемые) 60" xfId="99"/>
    <cellStyle name="Данные (редактируемые) 61" xfId="100"/>
    <cellStyle name="Данные (редактируемые) 62" xfId="101"/>
    <cellStyle name="Данные (редактируемые) 7" xfId="102"/>
    <cellStyle name="Данные (редактируемые) 8" xfId="103"/>
    <cellStyle name="Данные (редактируемые) 9" xfId="104"/>
    <cellStyle name="Данные (только для чтения)" xfId="105"/>
    <cellStyle name="Данные (только для чтения) 10" xfId="106"/>
    <cellStyle name="Данные (только для чтения) 11" xfId="107"/>
    <cellStyle name="Данные (только для чтения) 12" xfId="108"/>
    <cellStyle name="Данные (только для чтения) 13" xfId="109"/>
    <cellStyle name="Данные (только для чтения) 14" xfId="110"/>
    <cellStyle name="Данные (только для чтения) 15" xfId="111"/>
    <cellStyle name="Данные (только для чтения) 16" xfId="112"/>
    <cellStyle name="Данные (только для чтения) 17" xfId="113"/>
    <cellStyle name="Данные (только для чтения) 18" xfId="114"/>
    <cellStyle name="Данные (только для чтения) 19" xfId="115"/>
    <cellStyle name="Данные (только для чтения) 2" xfId="116"/>
    <cellStyle name="Данные (только для чтения) 20" xfId="117"/>
    <cellStyle name="Данные (только для чтения) 21" xfId="118"/>
    <cellStyle name="Данные (только для чтения) 22" xfId="119"/>
    <cellStyle name="Данные (только для чтения) 23" xfId="120"/>
    <cellStyle name="Данные (только для чтения) 24" xfId="121"/>
    <cellStyle name="Данные (только для чтения) 25" xfId="122"/>
    <cellStyle name="Данные (только для чтения) 26" xfId="123"/>
    <cellStyle name="Данные (только для чтения) 27" xfId="124"/>
    <cellStyle name="Данные (только для чтения) 28" xfId="125"/>
    <cellStyle name="Данные (только для чтения) 29" xfId="126"/>
    <cellStyle name="Данные (только для чтения) 3" xfId="127"/>
    <cellStyle name="Данные (только для чтения) 30" xfId="128"/>
    <cellStyle name="Данные (только для чтения) 31" xfId="129"/>
    <cellStyle name="Данные (только для чтения) 32" xfId="130"/>
    <cellStyle name="Данные (только для чтения) 33" xfId="131"/>
    <cellStyle name="Данные (только для чтения) 34" xfId="132"/>
    <cellStyle name="Данные (только для чтения) 35" xfId="133"/>
    <cellStyle name="Данные (только для чтения) 36" xfId="134"/>
    <cellStyle name="Данные (только для чтения) 37" xfId="135"/>
    <cellStyle name="Данные (только для чтения) 38" xfId="136"/>
    <cellStyle name="Данные (только для чтения) 39" xfId="137"/>
    <cellStyle name="Данные (только для чтения) 4" xfId="138"/>
    <cellStyle name="Данные (только для чтения) 40" xfId="139"/>
    <cellStyle name="Данные (только для чтения) 41" xfId="140"/>
    <cellStyle name="Данные (только для чтения) 42" xfId="141"/>
    <cellStyle name="Данные (только для чтения) 43" xfId="142"/>
    <cellStyle name="Данные (только для чтения) 44" xfId="143"/>
    <cellStyle name="Данные (только для чтения) 45" xfId="144"/>
    <cellStyle name="Данные (только для чтения) 46" xfId="145"/>
    <cellStyle name="Данные (только для чтения) 47" xfId="146"/>
    <cellStyle name="Данные (только для чтения) 48" xfId="147"/>
    <cellStyle name="Данные (только для чтения) 49" xfId="148"/>
    <cellStyle name="Данные (только для чтения) 5" xfId="149"/>
    <cellStyle name="Данные (только для чтения) 50" xfId="150"/>
    <cellStyle name="Данные (только для чтения) 51" xfId="151"/>
    <cellStyle name="Данные (только для чтения) 52" xfId="152"/>
    <cellStyle name="Данные (только для чтения) 53" xfId="153"/>
    <cellStyle name="Данные (только для чтения) 54" xfId="154"/>
    <cellStyle name="Данные (только для чтения) 55" xfId="155"/>
    <cellStyle name="Данные (только для чтения) 56" xfId="156"/>
    <cellStyle name="Данные (только для чтения) 57" xfId="157"/>
    <cellStyle name="Данные (только для чтения) 58" xfId="158"/>
    <cellStyle name="Данные (только для чтения) 59" xfId="159"/>
    <cellStyle name="Данные (только для чтения) 6" xfId="160"/>
    <cellStyle name="Данные (только для чтения) 60" xfId="161"/>
    <cellStyle name="Данные (только для чтения) 61" xfId="162"/>
    <cellStyle name="Данные (только для чтения) 62" xfId="163"/>
    <cellStyle name="Данные (только для чтения) 7" xfId="164"/>
    <cellStyle name="Данные (только для чтения) 8" xfId="165"/>
    <cellStyle name="Данные (только для чтения) 9" xfId="166"/>
    <cellStyle name="Данные для удаления" xfId="167"/>
    <cellStyle name="Данные для удаления 10" xfId="168"/>
    <cellStyle name="Данные для удаления 11" xfId="169"/>
    <cellStyle name="Данные для удаления 12" xfId="170"/>
    <cellStyle name="Данные для удаления 13" xfId="171"/>
    <cellStyle name="Данные для удаления 14" xfId="172"/>
    <cellStyle name="Данные для удаления 15" xfId="173"/>
    <cellStyle name="Данные для удаления 16" xfId="174"/>
    <cellStyle name="Данные для удаления 17" xfId="175"/>
    <cellStyle name="Данные для удаления 18" xfId="176"/>
    <cellStyle name="Данные для удаления 19" xfId="177"/>
    <cellStyle name="Данные для удаления 2" xfId="178"/>
    <cellStyle name="Данные для удаления 20" xfId="179"/>
    <cellStyle name="Данные для удаления 21" xfId="180"/>
    <cellStyle name="Данные для удаления 22" xfId="181"/>
    <cellStyle name="Данные для удаления 23" xfId="182"/>
    <cellStyle name="Данные для удаления 24" xfId="183"/>
    <cellStyle name="Данные для удаления 25" xfId="184"/>
    <cellStyle name="Данные для удаления 26" xfId="185"/>
    <cellStyle name="Данные для удаления 27" xfId="186"/>
    <cellStyle name="Данные для удаления 28" xfId="187"/>
    <cellStyle name="Данные для удаления 29" xfId="188"/>
    <cellStyle name="Данные для удаления 3" xfId="189"/>
    <cellStyle name="Данные для удаления 30" xfId="190"/>
    <cellStyle name="Данные для удаления 31" xfId="191"/>
    <cellStyle name="Данные для удаления 32" xfId="192"/>
    <cellStyle name="Данные для удаления 33" xfId="193"/>
    <cellStyle name="Данные для удаления 34" xfId="194"/>
    <cellStyle name="Данные для удаления 35" xfId="195"/>
    <cellStyle name="Данные для удаления 36" xfId="196"/>
    <cellStyle name="Данные для удаления 37" xfId="197"/>
    <cellStyle name="Данные для удаления 38" xfId="198"/>
    <cellStyle name="Данные для удаления 39" xfId="199"/>
    <cellStyle name="Данные для удаления 4" xfId="200"/>
    <cellStyle name="Данные для удаления 40" xfId="201"/>
    <cellStyle name="Данные для удаления 41" xfId="202"/>
    <cellStyle name="Данные для удаления 42" xfId="203"/>
    <cellStyle name="Данные для удаления 43" xfId="204"/>
    <cellStyle name="Данные для удаления 44" xfId="205"/>
    <cellStyle name="Данные для удаления 45" xfId="206"/>
    <cellStyle name="Данные для удаления 46" xfId="207"/>
    <cellStyle name="Данные для удаления 47" xfId="208"/>
    <cellStyle name="Данные для удаления 48" xfId="209"/>
    <cellStyle name="Данные для удаления 49" xfId="210"/>
    <cellStyle name="Данные для удаления 5" xfId="211"/>
    <cellStyle name="Данные для удаления 50" xfId="212"/>
    <cellStyle name="Данные для удаления 51" xfId="213"/>
    <cellStyle name="Данные для удаления 52" xfId="214"/>
    <cellStyle name="Данные для удаления 53" xfId="215"/>
    <cellStyle name="Данные для удаления 54" xfId="216"/>
    <cellStyle name="Данные для удаления 55" xfId="217"/>
    <cellStyle name="Данные для удаления 56" xfId="218"/>
    <cellStyle name="Данные для удаления 57" xfId="219"/>
    <cellStyle name="Данные для удаления 58" xfId="220"/>
    <cellStyle name="Данные для удаления 59" xfId="221"/>
    <cellStyle name="Данные для удаления 6" xfId="222"/>
    <cellStyle name="Данные для удаления 60" xfId="223"/>
    <cellStyle name="Данные для удаления 61" xfId="224"/>
    <cellStyle name="Данные для удаления 62" xfId="225"/>
    <cellStyle name="Данные для удаления 7" xfId="226"/>
    <cellStyle name="Данные для удаления 8" xfId="227"/>
    <cellStyle name="Данные для удаления 9" xfId="228"/>
    <cellStyle name="Currency" xfId="229"/>
    <cellStyle name="Currency [0]" xfId="230"/>
    <cellStyle name="Заголовки полей" xfId="231"/>
    <cellStyle name="Заголовки полей [печать]" xfId="232"/>
    <cellStyle name="Заголовки полей 10" xfId="233"/>
    <cellStyle name="Заголовки полей 11" xfId="234"/>
    <cellStyle name="Заголовки полей 12" xfId="235"/>
    <cellStyle name="Заголовки полей 13" xfId="236"/>
    <cellStyle name="Заголовки полей 14" xfId="237"/>
    <cellStyle name="Заголовки полей 15" xfId="238"/>
    <cellStyle name="Заголовки полей 16" xfId="239"/>
    <cellStyle name="Заголовки полей 17" xfId="240"/>
    <cellStyle name="Заголовки полей 18" xfId="241"/>
    <cellStyle name="Заголовки полей 19" xfId="242"/>
    <cellStyle name="Заголовки полей 2" xfId="243"/>
    <cellStyle name="Заголовки полей 20" xfId="244"/>
    <cellStyle name="Заголовки полей 21" xfId="245"/>
    <cellStyle name="Заголовки полей 22" xfId="246"/>
    <cellStyle name="Заголовки полей 23" xfId="247"/>
    <cellStyle name="Заголовки полей 24" xfId="248"/>
    <cellStyle name="Заголовки полей 25" xfId="249"/>
    <cellStyle name="Заголовки полей 26" xfId="250"/>
    <cellStyle name="Заголовки полей 27" xfId="251"/>
    <cellStyle name="Заголовки полей 28" xfId="252"/>
    <cellStyle name="Заголовки полей 29" xfId="253"/>
    <cellStyle name="Заголовки полей 3" xfId="254"/>
    <cellStyle name="Заголовки полей 30" xfId="255"/>
    <cellStyle name="Заголовки полей 31" xfId="256"/>
    <cellStyle name="Заголовки полей 32" xfId="257"/>
    <cellStyle name="Заголовки полей 33" xfId="258"/>
    <cellStyle name="Заголовки полей 34" xfId="259"/>
    <cellStyle name="Заголовки полей 35" xfId="260"/>
    <cellStyle name="Заголовки полей 36" xfId="261"/>
    <cellStyle name="Заголовки полей 37" xfId="262"/>
    <cellStyle name="Заголовки полей 38" xfId="263"/>
    <cellStyle name="Заголовки полей 39" xfId="264"/>
    <cellStyle name="Заголовки полей 4" xfId="265"/>
    <cellStyle name="Заголовки полей 40" xfId="266"/>
    <cellStyle name="Заголовки полей 41" xfId="267"/>
    <cellStyle name="Заголовки полей 42" xfId="268"/>
    <cellStyle name="Заголовки полей 43" xfId="269"/>
    <cellStyle name="Заголовки полей 44" xfId="270"/>
    <cellStyle name="Заголовки полей 45" xfId="271"/>
    <cellStyle name="Заголовки полей 46" xfId="272"/>
    <cellStyle name="Заголовки полей 47" xfId="273"/>
    <cellStyle name="Заголовки полей 48" xfId="274"/>
    <cellStyle name="Заголовки полей 49" xfId="275"/>
    <cellStyle name="Заголовки полей 5" xfId="276"/>
    <cellStyle name="Заголовки полей 50" xfId="277"/>
    <cellStyle name="Заголовки полей 51" xfId="278"/>
    <cellStyle name="Заголовки полей 52" xfId="279"/>
    <cellStyle name="Заголовки полей 53" xfId="280"/>
    <cellStyle name="Заголовки полей 54" xfId="281"/>
    <cellStyle name="Заголовки полей 55" xfId="282"/>
    <cellStyle name="Заголовки полей 56" xfId="283"/>
    <cellStyle name="Заголовки полей 57" xfId="284"/>
    <cellStyle name="Заголовки полей 58" xfId="285"/>
    <cellStyle name="Заголовки полей 59" xfId="286"/>
    <cellStyle name="Заголовки полей 6" xfId="287"/>
    <cellStyle name="Заголовки полей 60" xfId="288"/>
    <cellStyle name="Заголовки полей 61" xfId="289"/>
    <cellStyle name="Заголовки полей 62" xfId="290"/>
    <cellStyle name="Заголовки полей 7" xfId="291"/>
    <cellStyle name="Заголовки полей 8" xfId="292"/>
    <cellStyle name="Заголовки полей 9" xfId="293"/>
    <cellStyle name="Заголовок 1" xfId="294"/>
    <cellStyle name="Заголовок 2" xfId="295"/>
    <cellStyle name="Заголовок 3" xfId="296"/>
    <cellStyle name="Заголовок 4" xfId="297"/>
    <cellStyle name="Заголовок меры" xfId="298"/>
    <cellStyle name="Заголовок меры 10" xfId="299"/>
    <cellStyle name="Заголовок меры 11" xfId="300"/>
    <cellStyle name="Заголовок меры 12" xfId="301"/>
    <cellStyle name="Заголовок меры 13" xfId="302"/>
    <cellStyle name="Заголовок меры 14" xfId="303"/>
    <cellStyle name="Заголовок меры 15" xfId="304"/>
    <cellStyle name="Заголовок меры 16" xfId="305"/>
    <cellStyle name="Заголовок меры 17" xfId="306"/>
    <cellStyle name="Заголовок меры 18" xfId="307"/>
    <cellStyle name="Заголовок меры 19" xfId="308"/>
    <cellStyle name="Заголовок меры 2" xfId="309"/>
    <cellStyle name="Заголовок меры 20" xfId="310"/>
    <cellStyle name="Заголовок меры 21" xfId="311"/>
    <cellStyle name="Заголовок меры 22" xfId="312"/>
    <cellStyle name="Заголовок меры 23" xfId="313"/>
    <cellStyle name="Заголовок меры 24" xfId="314"/>
    <cellStyle name="Заголовок меры 25" xfId="315"/>
    <cellStyle name="Заголовок меры 26" xfId="316"/>
    <cellStyle name="Заголовок меры 27" xfId="317"/>
    <cellStyle name="Заголовок меры 28" xfId="318"/>
    <cellStyle name="Заголовок меры 29" xfId="319"/>
    <cellStyle name="Заголовок меры 3" xfId="320"/>
    <cellStyle name="Заголовок меры 30" xfId="321"/>
    <cellStyle name="Заголовок меры 31" xfId="322"/>
    <cellStyle name="Заголовок меры 32" xfId="323"/>
    <cellStyle name="Заголовок меры 33" xfId="324"/>
    <cellStyle name="Заголовок меры 34" xfId="325"/>
    <cellStyle name="Заголовок меры 35" xfId="326"/>
    <cellStyle name="Заголовок меры 36" xfId="327"/>
    <cellStyle name="Заголовок меры 37" xfId="328"/>
    <cellStyle name="Заголовок меры 38" xfId="329"/>
    <cellStyle name="Заголовок меры 39" xfId="330"/>
    <cellStyle name="Заголовок меры 4" xfId="331"/>
    <cellStyle name="Заголовок меры 40" xfId="332"/>
    <cellStyle name="Заголовок меры 41" xfId="333"/>
    <cellStyle name="Заголовок меры 42" xfId="334"/>
    <cellStyle name="Заголовок меры 43" xfId="335"/>
    <cellStyle name="Заголовок меры 44" xfId="336"/>
    <cellStyle name="Заголовок меры 45" xfId="337"/>
    <cellStyle name="Заголовок меры 46" xfId="338"/>
    <cellStyle name="Заголовок меры 47" xfId="339"/>
    <cellStyle name="Заголовок меры 48" xfId="340"/>
    <cellStyle name="Заголовок меры 49" xfId="341"/>
    <cellStyle name="Заголовок меры 5" xfId="342"/>
    <cellStyle name="Заголовок меры 50" xfId="343"/>
    <cellStyle name="Заголовок меры 51" xfId="344"/>
    <cellStyle name="Заголовок меры 52" xfId="345"/>
    <cellStyle name="Заголовок меры 53" xfId="346"/>
    <cellStyle name="Заголовок меры 54" xfId="347"/>
    <cellStyle name="Заголовок меры 55" xfId="348"/>
    <cellStyle name="Заголовок меры 56" xfId="349"/>
    <cellStyle name="Заголовок меры 57" xfId="350"/>
    <cellStyle name="Заголовок меры 58" xfId="351"/>
    <cellStyle name="Заголовок меры 59" xfId="352"/>
    <cellStyle name="Заголовок меры 6" xfId="353"/>
    <cellStyle name="Заголовок меры 60" xfId="354"/>
    <cellStyle name="Заголовок меры 61" xfId="355"/>
    <cellStyle name="Заголовок меры 62" xfId="356"/>
    <cellStyle name="Заголовок меры 7" xfId="357"/>
    <cellStyle name="Заголовок меры 8" xfId="358"/>
    <cellStyle name="Заголовок меры 9" xfId="359"/>
    <cellStyle name="Заголовок показателя [печать]" xfId="360"/>
    <cellStyle name="Заголовок показателя константы" xfId="361"/>
    <cellStyle name="Заголовок показателя константы 10" xfId="362"/>
    <cellStyle name="Заголовок показателя константы 11" xfId="363"/>
    <cellStyle name="Заголовок показателя константы 12" xfId="364"/>
    <cellStyle name="Заголовок показателя константы 13" xfId="365"/>
    <cellStyle name="Заголовок показателя константы 14" xfId="366"/>
    <cellStyle name="Заголовок показателя константы 15" xfId="367"/>
    <cellStyle name="Заголовок показателя константы 16" xfId="368"/>
    <cellStyle name="Заголовок показателя константы 17" xfId="369"/>
    <cellStyle name="Заголовок показателя константы 18" xfId="370"/>
    <cellStyle name="Заголовок показателя константы 19" xfId="371"/>
    <cellStyle name="Заголовок показателя константы 2" xfId="372"/>
    <cellStyle name="Заголовок показателя константы 20" xfId="373"/>
    <cellStyle name="Заголовок показателя константы 21" xfId="374"/>
    <cellStyle name="Заголовок показателя константы 22" xfId="375"/>
    <cellStyle name="Заголовок показателя константы 23" xfId="376"/>
    <cellStyle name="Заголовок показателя константы 24" xfId="377"/>
    <cellStyle name="Заголовок показателя константы 25" xfId="378"/>
    <cellStyle name="Заголовок показателя константы 26" xfId="379"/>
    <cellStyle name="Заголовок показателя константы 27" xfId="380"/>
    <cellStyle name="Заголовок показателя константы 28" xfId="381"/>
    <cellStyle name="Заголовок показателя константы 29" xfId="382"/>
    <cellStyle name="Заголовок показателя константы 3" xfId="383"/>
    <cellStyle name="Заголовок показателя константы 30" xfId="384"/>
    <cellStyle name="Заголовок показателя константы 31" xfId="385"/>
    <cellStyle name="Заголовок показателя константы 32" xfId="386"/>
    <cellStyle name="Заголовок показателя константы 33" xfId="387"/>
    <cellStyle name="Заголовок показателя константы 34" xfId="388"/>
    <cellStyle name="Заголовок показателя константы 35" xfId="389"/>
    <cellStyle name="Заголовок показателя константы 36" xfId="390"/>
    <cellStyle name="Заголовок показателя константы 37" xfId="391"/>
    <cellStyle name="Заголовок показателя константы 38" xfId="392"/>
    <cellStyle name="Заголовок показателя константы 39" xfId="393"/>
    <cellStyle name="Заголовок показателя константы 4" xfId="394"/>
    <cellStyle name="Заголовок показателя константы 40" xfId="395"/>
    <cellStyle name="Заголовок показателя константы 41" xfId="396"/>
    <cellStyle name="Заголовок показателя константы 42" xfId="397"/>
    <cellStyle name="Заголовок показателя константы 43" xfId="398"/>
    <cellStyle name="Заголовок показателя константы 44" xfId="399"/>
    <cellStyle name="Заголовок показателя константы 45" xfId="400"/>
    <cellStyle name="Заголовок показателя константы 46" xfId="401"/>
    <cellStyle name="Заголовок показателя константы 47" xfId="402"/>
    <cellStyle name="Заголовок показателя константы 48" xfId="403"/>
    <cellStyle name="Заголовок показателя константы 49" xfId="404"/>
    <cellStyle name="Заголовок показателя константы 5" xfId="405"/>
    <cellStyle name="Заголовок показателя константы 50" xfId="406"/>
    <cellStyle name="Заголовок показателя константы 51" xfId="407"/>
    <cellStyle name="Заголовок показателя константы 52" xfId="408"/>
    <cellStyle name="Заголовок показателя константы 53" xfId="409"/>
    <cellStyle name="Заголовок показателя константы 54" xfId="410"/>
    <cellStyle name="Заголовок показателя константы 55" xfId="411"/>
    <cellStyle name="Заголовок показателя константы 56" xfId="412"/>
    <cellStyle name="Заголовок показателя константы 57" xfId="413"/>
    <cellStyle name="Заголовок показателя константы 58" xfId="414"/>
    <cellStyle name="Заголовок показателя константы 59" xfId="415"/>
    <cellStyle name="Заголовок показателя константы 6" xfId="416"/>
    <cellStyle name="Заголовок показателя константы 60" xfId="417"/>
    <cellStyle name="Заголовок показателя константы 61" xfId="418"/>
    <cellStyle name="Заголовок показателя константы 62" xfId="419"/>
    <cellStyle name="Заголовок показателя константы 7" xfId="420"/>
    <cellStyle name="Заголовок показателя константы 8" xfId="421"/>
    <cellStyle name="Заголовок показателя константы 9" xfId="422"/>
    <cellStyle name="Заголовок результата расчета" xfId="423"/>
    <cellStyle name="Заголовок результата расчета 10" xfId="424"/>
    <cellStyle name="Заголовок результата расчета 11" xfId="425"/>
    <cellStyle name="Заголовок результата расчета 12" xfId="426"/>
    <cellStyle name="Заголовок результата расчета 13" xfId="427"/>
    <cellStyle name="Заголовок результата расчета 14" xfId="428"/>
    <cellStyle name="Заголовок результата расчета 15" xfId="429"/>
    <cellStyle name="Заголовок результата расчета 16" xfId="430"/>
    <cellStyle name="Заголовок результата расчета 17" xfId="431"/>
    <cellStyle name="Заголовок результата расчета 18" xfId="432"/>
    <cellStyle name="Заголовок результата расчета 19" xfId="433"/>
    <cellStyle name="Заголовок результата расчета 2" xfId="434"/>
    <cellStyle name="Заголовок результата расчета 20" xfId="435"/>
    <cellStyle name="Заголовок результата расчета 21" xfId="436"/>
    <cellStyle name="Заголовок результата расчета 22" xfId="437"/>
    <cellStyle name="Заголовок результата расчета 23" xfId="438"/>
    <cellStyle name="Заголовок результата расчета 24" xfId="439"/>
    <cellStyle name="Заголовок результата расчета 25" xfId="440"/>
    <cellStyle name="Заголовок результата расчета 26" xfId="441"/>
    <cellStyle name="Заголовок результата расчета 27" xfId="442"/>
    <cellStyle name="Заголовок результата расчета 28" xfId="443"/>
    <cellStyle name="Заголовок результата расчета 29" xfId="444"/>
    <cellStyle name="Заголовок результата расчета 3" xfId="445"/>
    <cellStyle name="Заголовок результата расчета 30" xfId="446"/>
    <cellStyle name="Заголовок результата расчета 31" xfId="447"/>
    <cellStyle name="Заголовок результата расчета 32" xfId="448"/>
    <cellStyle name="Заголовок результата расчета 33" xfId="449"/>
    <cellStyle name="Заголовок результата расчета 34" xfId="450"/>
    <cellStyle name="Заголовок результата расчета 35" xfId="451"/>
    <cellStyle name="Заголовок результата расчета 36" xfId="452"/>
    <cellStyle name="Заголовок результата расчета 37" xfId="453"/>
    <cellStyle name="Заголовок результата расчета 38" xfId="454"/>
    <cellStyle name="Заголовок результата расчета 39" xfId="455"/>
    <cellStyle name="Заголовок результата расчета 4" xfId="456"/>
    <cellStyle name="Заголовок результата расчета 40" xfId="457"/>
    <cellStyle name="Заголовок результата расчета 41" xfId="458"/>
    <cellStyle name="Заголовок результата расчета 42" xfId="459"/>
    <cellStyle name="Заголовок результата расчета 43" xfId="460"/>
    <cellStyle name="Заголовок результата расчета 44" xfId="461"/>
    <cellStyle name="Заголовок результата расчета 45" xfId="462"/>
    <cellStyle name="Заголовок результата расчета 46" xfId="463"/>
    <cellStyle name="Заголовок результата расчета 47" xfId="464"/>
    <cellStyle name="Заголовок результата расчета 48" xfId="465"/>
    <cellStyle name="Заголовок результата расчета 49" xfId="466"/>
    <cellStyle name="Заголовок результата расчета 5" xfId="467"/>
    <cellStyle name="Заголовок результата расчета 50" xfId="468"/>
    <cellStyle name="Заголовок результата расчета 51" xfId="469"/>
    <cellStyle name="Заголовок результата расчета 52" xfId="470"/>
    <cellStyle name="Заголовок результата расчета 53" xfId="471"/>
    <cellStyle name="Заголовок результата расчета 54" xfId="472"/>
    <cellStyle name="Заголовок результата расчета 55" xfId="473"/>
    <cellStyle name="Заголовок результата расчета 56" xfId="474"/>
    <cellStyle name="Заголовок результата расчета 57" xfId="475"/>
    <cellStyle name="Заголовок результата расчета 58" xfId="476"/>
    <cellStyle name="Заголовок результата расчета 59" xfId="477"/>
    <cellStyle name="Заголовок результата расчета 6" xfId="478"/>
    <cellStyle name="Заголовок результата расчета 60" xfId="479"/>
    <cellStyle name="Заголовок результата расчета 61" xfId="480"/>
    <cellStyle name="Заголовок результата расчета 62" xfId="481"/>
    <cellStyle name="Заголовок результата расчета 7" xfId="482"/>
    <cellStyle name="Заголовок результата расчета 8" xfId="483"/>
    <cellStyle name="Заголовок результата расчета 9" xfId="484"/>
    <cellStyle name="Заголовок свободного показателя" xfId="485"/>
    <cellStyle name="Заголовок свободного показателя 10" xfId="486"/>
    <cellStyle name="Заголовок свободного показателя 11" xfId="487"/>
    <cellStyle name="Заголовок свободного показателя 12" xfId="488"/>
    <cellStyle name="Заголовок свободного показателя 13" xfId="489"/>
    <cellStyle name="Заголовок свободного показателя 14" xfId="490"/>
    <cellStyle name="Заголовок свободного показателя 15" xfId="491"/>
    <cellStyle name="Заголовок свободного показателя 16" xfId="492"/>
    <cellStyle name="Заголовок свободного показателя 17" xfId="493"/>
    <cellStyle name="Заголовок свободного показателя 18" xfId="494"/>
    <cellStyle name="Заголовок свободного показателя 19" xfId="495"/>
    <cellStyle name="Заголовок свободного показателя 2" xfId="496"/>
    <cellStyle name="Заголовок свободного показателя 20" xfId="497"/>
    <cellStyle name="Заголовок свободного показателя 21" xfId="498"/>
    <cellStyle name="Заголовок свободного показателя 22" xfId="499"/>
    <cellStyle name="Заголовок свободного показателя 23" xfId="500"/>
    <cellStyle name="Заголовок свободного показателя 24" xfId="501"/>
    <cellStyle name="Заголовок свободного показателя 25" xfId="502"/>
    <cellStyle name="Заголовок свободного показателя 26" xfId="503"/>
    <cellStyle name="Заголовок свободного показателя 27" xfId="504"/>
    <cellStyle name="Заголовок свободного показателя 28" xfId="505"/>
    <cellStyle name="Заголовок свободного показателя 29" xfId="506"/>
    <cellStyle name="Заголовок свободного показателя 3" xfId="507"/>
    <cellStyle name="Заголовок свободного показателя 30" xfId="508"/>
    <cellStyle name="Заголовок свободного показателя 31" xfId="509"/>
    <cellStyle name="Заголовок свободного показателя 32" xfId="510"/>
    <cellStyle name="Заголовок свободного показателя 33" xfId="511"/>
    <cellStyle name="Заголовок свободного показателя 34" xfId="512"/>
    <cellStyle name="Заголовок свободного показателя 35" xfId="513"/>
    <cellStyle name="Заголовок свободного показателя 36" xfId="514"/>
    <cellStyle name="Заголовок свободного показателя 37" xfId="515"/>
    <cellStyle name="Заголовок свободного показателя 38" xfId="516"/>
    <cellStyle name="Заголовок свободного показателя 39" xfId="517"/>
    <cellStyle name="Заголовок свободного показателя 4" xfId="518"/>
    <cellStyle name="Заголовок свободного показателя 40" xfId="519"/>
    <cellStyle name="Заголовок свободного показателя 41" xfId="520"/>
    <cellStyle name="Заголовок свободного показателя 42" xfId="521"/>
    <cellStyle name="Заголовок свободного показателя 43" xfId="522"/>
    <cellStyle name="Заголовок свободного показателя 44" xfId="523"/>
    <cellStyle name="Заголовок свободного показателя 45" xfId="524"/>
    <cellStyle name="Заголовок свободного показателя 46" xfId="525"/>
    <cellStyle name="Заголовок свободного показателя 47" xfId="526"/>
    <cellStyle name="Заголовок свободного показателя 48" xfId="527"/>
    <cellStyle name="Заголовок свободного показателя 49" xfId="528"/>
    <cellStyle name="Заголовок свободного показателя 5" xfId="529"/>
    <cellStyle name="Заголовок свободного показателя 50" xfId="530"/>
    <cellStyle name="Заголовок свободного показателя 51" xfId="531"/>
    <cellStyle name="Заголовок свободного показателя 52" xfId="532"/>
    <cellStyle name="Заголовок свободного показателя 53" xfId="533"/>
    <cellStyle name="Заголовок свободного показателя 54" xfId="534"/>
    <cellStyle name="Заголовок свободного показателя 55" xfId="535"/>
    <cellStyle name="Заголовок свободного показателя 56" xfId="536"/>
    <cellStyle name="Заголовок свободного показателя 57" xfId="537"/>
    <cellStyle name="Заголовок свободного показателя 58" xfId="538"/>
    <cellStyle name="Заголовок свободного показателя 59" xfId="539"/>
    <cellStyle name="Заголовок свободного показателя 6" xfId="540"/>
    <cellStyle name="Заголовок свободного показателя 60" xfId="541"/>
    <cellStyle name="Заголовок свободного показателя 61" xfId="542"/>
    <cellStyle name="Заголовок свободного показателя 62" xfId="543"/>
    <cellStyle name="Заголовок свободного показателя 7" xfId="544"/>
    <cellStyle name="Заголовок свободного показателя 8" xfId="545"/>
    <cellStyle name="Заголовок свободного показателя 9" xfId="546"/>
    <cellStyle name="Значение фильтра" xfId="547"/>
    <cellStyle name="Значение фильтра [печать]" xfId="548"/>
    <cellStyle name="Значение фильтра [печать] 10" xfId="549"/>
    <cellStyle name="Значение фильтра [печать] 11" xfId="550"/>
    <cellStyle name="Значение фильтра [печать] 12" xfId="551"/>
    <cellStyle name="Значение фильтра [печать] 13" xfId="552"/>
    <cellStyle name="Значение фильтра [печать] 14" xfId="553"/>
    <cellStyle name="Значение фильтра [печать] 15" xfId="554"/>
    <cellStyle name="Значение фильтра [печать] 16" xfId="555"/>
    <cellStyle name="Значение фильтра [печать] 17" xfId="556"/>
    <cellStyle name="Значение фильтра [печать] 18" xfId="557"/>
    <cellStyle name="Значение фильтра [печать] 19" xfId="558"/>
    <cellStyle name="Значение фильтра [печать] 2" xfId="559"/>
    <cellStyle name="Значение фильтра [печать] 20" xfId="560"/>
    <cellStyle name="Значение фильтра [печать] 21" xfId="561"/>
    <cellStyle name="Значение фильтра [печать] 22" xfId="562"/>
    <cellStyle name="Значение фильтра [печать] 23" xfId="563"/>
    <cellStyle name="Значение фильтра [печать] 24" xfId="564"/>
    <cellStyle name="Значение фильтра [печать] 25" xfId="565"/>
    <cellStyle name="Значение фильтра [печать] 26" xfId="566"/>
    <cellStyle name="Значение фильтра [печать] 27" xfId="567"/>
    <cellStyle name="Значение фильтра [печать] 28" xfId="568"/>
    <cellStyle name="Значение фильтра [печать] 29" xfId="569"/>
    <cellStyle name="Значение фильтра [печать] 3" xfId="570"/>
    <cellStyle name="Значение фильтра [печать] 30" xfId="571"/>
    <cellStyle name="Значение фильтра [печать] 31" xfId="572"/>
    <cellStyle name="Значение фильтра [печать] 32" xfId="573"/>
    <cellStyle name="Значение фильтра [печать] 33" xfId="574"/>
    <cellStyle name="Значение фильтра [печать] 34" xfId="575"/>
    <cellStyle name="Значение фильтра [печать] 35" xfId="576"/>
    <cellStyle name="Значение фильтра [печать] 36" xfId="577"/>
    <cellStyle name="Значение фильтра [печать] 37" xfId="578"/>
    <cellStyle name="Значение фильтра [печать] 38" xfId="579"/>
    <cellStyle name="Значение фильтра [печать] 39" xfId="580"/>
    <cellStyle name="Значение фильтра [печать] 4" xfId="581"/>
    <cellStyle name="Значение фильтра [печать] 40" xfId="582"/>
    <cellStyle name="Значение фильтра [печать] 41" xfId="583"/>
    <cellStyle name="Значение фильтра [печать] 42" xfId="584"/>
    <cellStyle name="Значение фильтра [печать] 43" xfId="585"/>
    <cellStyle name="Значение фильтра [печать] 44" xfId="586"/>
    <cellStyle name="Значение фильтра [печать] 45" xfId="587"/>
    <cellStyle name="Значение фильтра [печать] 46" xfId="588"/>
    <cellStyle name="Значение фильтра [печать] 47" xfId="589"/>
    <cellStyle name="Значение фильтра [печать] 48" xfId="590"/>
    <cellStyle name="Значение фильтра [печать] 49" xfId="591"/>
    <cellStyle name="Значение фильтра [печать] 5" xfId="592"/>
    <cellStyle name="Значение фильтра [печать] 50" xfId="593"/>
    <cellStyle name="Значение фильтра [печать] 51" xfId="594"/>
    <cellStyle name="Значение фильтра [печать] 52" xfId="595"/>
    <cellStyle name="Значение фильтра [печать] 53" xfId="596"/>
    <cellStyle name="Значение фильтра [печать] 54" xfId="597"/>
    <cellStyle name="Значение фильтра [печать] 55" xfId="598"/>
    <cellStyle name="Значение фильтра [печать] 56" xfId="599"/>
    <cellStyle name="Значение фильтра [печать] 57" xfId="600"/>
    <cellStyle name="Значение фильтра [печать] 58" xfId="601"/>
    <cellStyle name="Значение фильтра [печать] 59" xfId="602"/>
    <cellStyle name="Значение фильтра [печать] 6" xfId="603"/>
    <cellStyle name="Значение фильтра [печать] 60" xfId="604"/>
    <cellStyle name="Значение фильтра [печать] 61" xfId="605"/>
    <cellStyle name="Значение фильтра [печать] 62" xfId="606"/>
    <cellStyle name="Значение фильтра [печать] 7" xfId="607"/>
    <cellStyle name="Значение фильтра [печать] 8" xfId="608"/>
    <cellStyle name="Значение фильтра [печать] 9" xfId="609"/>
    <cellStyle name="Значение фильтра 10" xfId="610"/>
    <cellStyle name="Значение фильтра 11" xfId="611"/>
    <cellStyle name="Значение фильтра 12" xfId="612"/>
    <cellStyle name="Значение фильтра 13" xfId="613"/>
    <cellStyle name="Значение фильтра 14" xfId="614"/>
    <cellStyle name="Значение фильтра 15" xfId="615"/>
    <cellStyle name="Значение фильтра 16" xfId="616"/>
    <cellStyle name="Значение фильтра 17" xfId="617"/>
    <cellStyle name="Значение фильтра 18" xfId="618"/>
    <cellStyle name="Значение фильтра 19" xfId="619"/>
    <cellStyle name="Значение фильтра 2" xfId="620"/>
    <cellStyle name="Значение фильтра 20" xfId="621"/>
    <cellStyle name="Значение фильтра 21" xfId="622"/>
    <cellStyle name="Значение фильтра 22" xfId="623"/>
    <cellStyle name="Значение фильтра 23" xfId="624"/>
    <cellStyle name="Значение фильтра 24" xfId="625"/>
    <cellStyle name="Значение фильтра 25" xfId="626"/>
    <cellStyle name="Значение фильтра 26" xfId="627"/>
    <cellStyle name="Значение фильтра 27" xfId="628"/>
    <cellStyle name="Значение фильтра 28" xfId="629"/>
    <cellStyle name="Значение фильтра 29" xfId="630"/>
    <cellStyle name="Значение фильтра 3" xfId="631"/>
    <cellStyle name="Значение фильтра 30" xfId="632"/>
    <cellStyle name="Значение фильтра 31" xfId="633"/>
    <cellStyle name="Значение фильтра 32" xfId="634"/>
    <cellStyle name="Значение фильтра 33" xfId="635"/>
    <cellStyle name="Значение фильтра 34" xfId="636"/>
    <cellStyle name="Значение фильтра 35" xfId="637"/>
    <cellStyle name="Значение фильтра 36" xfId="638"/>
    <cellStyle name="Значение фильтра 37" xfId="639"/>
    <cellStyle name="Значение фильтра 38" xfId="640"/>
    <cellStyle name="Значение фильтра 39" xfId="641"/>
    <cellStyle name="Значение фильтра 4" xfId="642"/>
    <cellStyle name="Значение фильтра 40" xfId="643"/>
    <cellStyle name="Значение фильтра 41" xfId="644"/>
    <cellStyle name="Значение фильтра 42" xfId="645"/>
    <cellStyle name="Значение фильтра 43" xfId="646"/>
    <cellStyle name="Значение фильтра 44" xfId="647"/>
    <cellStyle name="Значение фильтра 45" xfId="648"/>
    <cellStyle name="Значение фильтра 46" xfId="649"/>
    <cellStyle name="Значение фильтра 47" xfId="650"/>
    <cellStyle name="Значение фильтра 48" xfId="651"/>
    <cellStyle name="Значение фильтра 49" xfId="652"/>
    <cellStyle name="Значение фильтра 5" xfId="653"/>
    <cellStyle name="Значение фильтра 50" xfId="654"/>
    <cellStyle name="Значение фильтра 51" xfId="655"/>
    <cellStyle name="Значение фильтра 52" xfId="656"/>
    <cellStyle name="Значение фильтра 53" xfId="657"/>
    <cellStyle name="Значение фильтра 54" xfId="658"/>
    <cellStyle name="Значение фильтра 55" xfId="659"/>
    <cellStyle name="Значение фильтра 56" xfId="660"/>
    <cellStyle name="Значение фильтра 57" xfId="661"/>
    <cellStyle name="Значение фильтра 58" xfId="662"/>
    <cellStyle name="Значение фильтра 59" xfId="663"/>
    <cellStyle name="Значение фильтра 6" xfId="664"/>
    <cellStyle name="Значение фильтра 60" xfId="665"/>
    <cellStyle name="Значение фильтра 61" xfId="666"/>
    <cellStyle name="Значение фильтра 62" xfId="667"/>
    <cellStyle name="Значение фильтра 7" xfId="668"/>
    <cellStyle name="Значение фильтра 8" xfId="669"/>
    <cellStyle name="Значение фильтра 9" xfId="670"/>
    <cellStyle name="Информация о задаче" xfId="671"/>
    <cellStyle name="Итог" xfId="672"/>
    <cellStyle name="Контрольная ячейка" xfId="673"/>
    <cellStyle name="Название" xfId="674"/>
    <cellStyle name="Нейтральный" xfId="675"/>
    <cellStyle name="Обычный 10" xfId="676"/>
    <cellStyle name="Обычный 11" xfId="677"/>
    <cellStyle name="Обычный 12" xfId="678"/>
    <cellStyle name="Обычный 13" xfId="679"/>
    <cellStyle name="Обычный 14" xfId="680"/>
    <cellStyle name="Обычный 15" xfId="681"/>
    <cellStyle name="Обычный 16" xfId="682"/>
    <cellStyle name="Обычный 17" xfId="683"/>
    <cellStyle name="Обычный 18" xfId="684"/>
    <cellStyle name="Обычный 19" xfId="685"/>
    <cellStyle name="Обычный 2" xfId="686"/>
    <cellStyle name="Обычный 2 10" xfId="687"/>
    <cellStyle name="Обычный 2 10 10" xfId="688"/>
    <cellStyle name="Обычный 2 10 11" xfId="689"/>
    <cellStyle name="Обычный 2 10 12" xfId="690"/>
    <cellStyle name="Обычный 2 10 13" xfId="691"/>
    <cellStyle name="Обычный 2 10 14" xfId="692"/>
    <cellStyle name="Обычный 2 10 15" xfId="693"/>
    <cellStyle name="Обычный 2 10 16" xfId="694"/>
    <cellStyle name="Обычный 2 10 17" xfId="695"/>
    <cellStyle name="Обычный 2 10 18" xfId="696"/>
    <cellStyle name="Обычный 2 10 2" xfId="697"/>
    <cellStyle name="Обычный 2 10 3" xfId="698"/>
    <cellStyle name="Обычный 2 10 4" xfId="699"/>
    <cellStyle name="Обычный 2 10 5" xfId="700"/>
    <cellStyle name="Обычный 2 10 6" xfId="701"/>
    <cellStyle name="Обычный 2 10 7" xfId="702"/>
    <cellStyle name="Обычный 2 10 8" xfId="703"/>
    <cellStyle name="Обычный 2 10 9" xfId="704"/>
    <cellStyle name="Обычный 2 11" xfId="705"/>
    <cellStyle name="Обычный 2 11 10" xfId="706"/>
    <cellStyle name="Обычный 2 11 11" xfId="707"/>
    <cellStyle name="Обычный 2 11 12" xfId="708"/>
    <cellStyle name="Обычный 2 11 13" xfId="709"/>
    <cellStyle name="Обычный 2 11 14" xfId="710"/>
    <cellStyle name="Обычный 2 11 15" xfId="711"/>
    <cellStyle name="Обычный 2 11 16" xfId="712"/>
    <cellStyle name="Обычный 2 11 17" xfId="713"/>
    <cellStyle name="Обычный 2 11 18" xfId="714"/>
    <cellStyle name="Обычный 2 11 2" xfId="715"/>
    <cellStyle name="Обычный 2 11 3" xfId="716"/>
    <cellStyle name="Обычный 2 11 4" xfId="717"/>
    <cellStyle name="Обычный 2 11 5" xfId="718"/>
    <cellStyle name="Обычный 2 11 6" xfId="719"/>
    <cellStyle name="Обычный 2 11 7" xfId="720"/>
    <cellStyle name="Обычный 2 11 8" xfId="721"/>
    <cellStyle name="Обычный 2 11 9" xfId="722"/>
    <cellStyle name="Обычный 2 12" xfId="723"/>
    <cellStyle name="Обычный 2 12 10" xfId="724"/>
    <cellStyle name="Обычный 2 12 11" xfId="725"/>
    <cellStyle name="Обычный 2 12 12" xfId="726"/>
    <cellStyle name="Обычный 2 12 13" xfId="727"/>
    <cellStyle name="Обычный 2 12 14" xfId="728"/>
    <cellStyle name="Обычный 2 12 15" xfId="729"/>
    <cellStyle name="Обычный 2 12 16" xfId="730"/>
    <cellStyle name="Обычный 2 12 17" xfId="731"/>
    <cellStyle name="Обычный 2 12 18" xfId="732"/>
    <cellStyle name="Обычный 2 12 2" xfId="733"/>
    <cellStyle name="Обычный 2 12 3" xfId="734"/>
    <cellStyle name="Обычный 2 12 4" xfId="735"/>
    <cellStyle name="Обычный 2 12 5" xfId="736"/>
    <cellStyle name="Обычный 2 12 6" xfId="737"/>
    <cellStyle name="Обычный 2 12 7" xfId="738"/>
    <cellStyle name="Обычный 2 12 8" xfId="739"/>
    <cellStyle name="Обычный 2 12 9" xfId="740"/>
    <cellStyle name="Обычный 2 13" xfId="741"/>
    <cellStyle name="Обычный 2 13 10" xfId="742"/>
    <cellStyle name="Обычный 2 13 11" xfId="743"/>
    <cellStyle name="Обычный 2 13 12" xfId="744"/>
    <cellStyle name="Обычный 2 13 13" xfId="745"/>
    <cellStyle name="Обычный 2 13 14" xfId="746"/>
    <cellStyle name="Обычный 2 13 15" xfId="747"/>
    <cellStyle name="Обычный 2 13 16" xfId="748"/>
    <cellStyle name="Обычный 2 13 17" xfId="749"/>
    <cellStyle name="Обычный 2 13 18" xfId="750"/>
    <cellStyle name="Обычный 2 13 2" xfId="751"/>
    <cellStyle name="Обычный 2 13 3" xfId="752"/>
    <cellStyle name="Обычный 2 13 4" xfId="753"/>
    <cellStyle name="Обычный 2 13 5" xfId="754"/>
    <cellStyle name="Обычный 2 13 6" xfId="755"/>
    <cellStyle name="Обычный 2 13 7" xfId="756"/>
    <cellStyle name="Обычный 2 13 8" xfId="757"/>
    <cellStyle name="Обычный 2 13 9" xfId="758"/>
    <cellStyle name="Обычный 2 14" xfId="759"/>
    <cellStyle name="Обычный 2 15" xfId="760"/>
    <cellStyle name="Обычный 2 16" xfId="761"/>
    <cellStyle name="Обычный 2 17" xfId="762"/>
    <cellStyle name="Обычный 2 18" xfId="763"/>
    <cellStyle name="Обычный 2 19" xfId="764"/>
    <cellStyle name="Обычный 2 2" xfId="765"/>
    <cellStyle name="Обычный 2 2 2" xfId="766"/>
    <cellStyle name="Обычный 2 2 3" xfId="767"/>
    <cellStyle name="Обычный 2 2 4" xfId="768"/>
    <cellStyle name="Обычный 2 2_Оц. кач. 11 мес.2014 ффф" xfId="769"/>
    <cellStyle name="Обычный 2 20" xfId="770"/>
    <cellStyle name="Обычный 2 21" xfId="771"/>
    <cellStyle name="Обычный 2 22" xfId="772"/>
    <cellStyle name="Обычный 2 23" xfId="773"/>
    <cellStyle name="Обычный 2 24" xfId="774"/>
    <cellStyle name="Обычный 2 25" xfId="775"/>
    <cellStyle name="Обычный 2 26" xfId="776"/>
    <cellStyle name="Обычный 2 27" xfId="777"/>
    <cellStyle name="Обычный 2 28" xfId="778"/>
    <cellStyle name="Обычный 2 29" xfId="779"/>
    <cellStyle name="Обычный 2 3" xfId="780"/>
    <cellStyle name="Обычный 2 3 10" xfId="781"/>
    <cellStyle name="Обычный 2 3 11" xfId="782"/>
    <cellStyle name="Обычный 2 3 12" xfId="783"/>
    <cellStyle name="Обычный 2 3 13" xfId="784"/>
    <cellStyle name="Обычный 2 3 14" xfId="785"/>
    <cellStyle name="Обычный 2 3 15" xfId="786"/>
    <cellStyle name="Обычный 2 3 16" xfId="787"/>
    <cellStyle name="Обычный 2 3 17" xfId="788"/>
    <cellStyle name="Обычный 2 3 18" xfId="789"/>
    <cellStyle name="Обычный 2 3 2" xfId="790"/>
    <cellStyle name="Обычный 2 3 3" xfId="791"/>
    <cellStyle name="Обычный 2 3 4" xfId="792"/>
    <cellStyle name="Обычный 2 3 5" xfId="793"/>
    <cellStyle name="Обычный 2 3 6" xfId="794"/>
    <cellStyle name="Обычный 2 3 7" xfId="795"/>
    <cellStyle name="Обычный 2 3 8" xfId="796"/>
    <cellStyle name="Обычный 2 3 9" xfId="797"/>
    <cellStyle name="Обычный 2 30" xfId="798"/>
    <cellStyle name="Обычный 2 31" xfId="799"/>
    <cellStyle name="Обычный 2 32" xfId="800"/>
    <cellStyle name="Обычный 2 33" xfId="801"/>
    <cellStyle name="Обычный 2 34" xfId="802"/>
    <cellStyle name="Обычный 2 35" xfId="803"/>
    <cellStyle name="Обычный 2 36" xfId="804"/>
    <cellStyle name="Обычный 2 37" xfId="805"/>
    <cellStyle name="Обычный 2 38" xfId="806"/>
    <cellStyle name="Обычный 2 39" xfId="807"/>
    <cellStyle name="Обычный 2 4" xfId="808"/>
    <cellStyle name="Обычный 2 4 10" xfId="809"/>
    <cellStyle name="Обычный 2 4 11" xfId="810"/>
    <cellStyle name="Обычный 2 4 12" xfId="811"/>
    <cellStyle name="Обычный 2 4 13" xfId="812"/>
    <cellStyle name="Обычный 2 4 14" xfId="813"/>
    <cellStyle name="Обычный 2 4 15" xfId="814"/>
    <cellStyle name="Обычный 2 4 16" xfId="815"/>
    <cellStyle name="Обычный 2 4 17" xfId="816"/>
    <cellStyle name="Обычный 2 4 18" xfId="817"/>
    <cellStyle name="Обычный 2 4 2" xfId="818"/>
    <cellStyle name="Обычный 2 4 3" xfId="819"/>
    <cellStyle name="Обычный 2 4 4" xfId="820"/>
    <cellStyle name="Обычный 2 4 5" xfId="821"/>
    <cellStyle name="Обычный 2 4 6" xfId="822"/>
    <cellStyle name="Обычный 2 4 7" xfId="823"/>
    <cellStyle name="Обычный 2 4 8" xfId="824"/>
    <cellStyle name="Обычный 2 4 9" xfId="825"/>
    <cellStyle name="Обычный 2 40" xfId="826"/>
    <cellStyle name="Обычный 2 41" xfId="827"/>
    <cellStyle name="Обычный 2 42" xfId="828"/>
    <cellStyle name="Обычный 2 43" xfId="829"/>
    <cellStyle name="Обычный 2 44" xfId="830"/>
    <cellStyle name="Обычный 2 45" xfId="831"/>
    <cellStyle name="Обычный 2 46" xfId="832"/>
    <cellStyle name="Обычный 2 47" xfId="833"/>
    <cellStyle name="Обычный 2 48" xfId="834"/>
    <cellStyle name="Обычный 2 49" xfId="835"/>
    <cellStyle name="Обычный 2 5" xfId="836"/>
    <cellStyle name="Обычный 2 50" xfId="837"/>
    <cellStyle name="Обычный 2 51" xfId="838"/>
    <cellStyle name="Обычный 2 52" xfId="839"/>
    <cellStyle name="Обычный 2 53" xfId="840"/>
    <cellStyle name="Обычный 2 54" xfId="841"/>
    <cellStyle name="Обычный 2 55" xfId="842"/>
    <cellStyle name="Обычный 2 56" xfId="843"/>
    <cellStyle name="Обычный 2 57" xfId="844"/>
    <cellStyle name="Обычный 2 58" xfId="845"/>
    <cellStyle name="Обычный 2 59" xfId="846"/>
    <cellStyle name="Обычный 2 6" xfId="847"/>
    <cellStyle name="Обычный 2 60" xfId="848"/>
    <cellStyle name="Обычный 2 61" xfId="849"/>
    <cellStyle name="Обычный 2 62" xfId="850"/>
    <cellStyle name="Обычный 2 63" xfId="851"/>
    <cellStyle name="Обычный 2 64" xfId="852"/>
    <cellStyle name="Обычный 2 65" xfId="853"/>
    <cellStyle name="Обычный 2 66" xfId="854"/>
    <cellStyle name="Обычный 2 67" xfId="855"/>
    <cellStyle name="Обычный 2 68" xfId="856"/>
    <cellStyle name="Обычный 2 69" xfId="857"/>
    <cellStyle name="Обычный 2 7" xfId="858"/>
    <cellStyle name="Обычный 2 70" xfId="859"/>
    <cellStyle name="Обычный 2 71" xfId="860"/>
    <cellStyle name="Обычный 2 72" xfId="861"/>
    <cellStyle name="Обычный 2 73" xfId="862"/>
    <cellStyle name="Обычный 2 74" xfId="863"/>
    <cellStyle name="Обычный 2 75" xfId="864"/>
    <cellStyle name="Обычный 2 76" xfId="865"/>
    <cellStyle name="Обычный 2 77" xfId="866"/>
    <cellStyle name="Обычный 2 78" xfId="867"/>
    <cellStyle name="Обычный 2 79" xfId="868"/>
    <cellStyle name="Обычный 2 8" xfId="869"/>
    <cellStyle name="Обычный 2 8 10" xfId="870"/>
    <cellStyle name="Обычный 2 8 11" xfId="871"/>
    <cellStyle name="Обычный 2 8 12" xfId="872"/>
    <cellStyle name="Обычный 2 8 13" xfId="873"/>
    <cellStyle name="Обычный 2 8 14" xfId="874"/>
    <cellStyle name="Обычный 2 8 15" xfId="875"/>
    <cellStyle name="Обычный 2 8 16" xfId="876"/>
    <cellStyle name="Обычный 2 8 17" xfId="877"/>
    <cellStyle name="Обычный 2 8 18" xfId="878"/>
    <cellStyle name="Обычный 2 8 2" xfId="879"/>
    <cellStyle name="Обычный 2 8 3" xfId="880"/>
    <cellStyle name="Обычный 2 8 4" xfId="881"/>
    <cellStyle name="Обычный 2 8 5" xfId="882"/>
    <cellStyle name="Обычный 2 8 6" xfId="883"/>
    <cellStyle name="Обычный 2 8 7" xfId="884"/>
    <cellStyle name="Обычный 2 8 8" xfId="885"/>
    <cellStyle name="Обычный 2 8 9" xfId="886"/>
    <cellStyle name="Обычный 2 80" xfId="887"/>
    <cellStyle name="Обычный 2 81" xfId="888"/>
    <cellStyle name="Обычный 2 82" xfId="889"/>
    <cellStyle name="Обычный 2 83" xfId="890"/>
    <cellStyle name="Обычный 2 84" xfId="891"/>
    <cellStyle name="Обычный 2 85" xfId="892"/>
    <cellStyle name="Обычный 2 86" xfId="893"/>
    <cellStyle name="Обычный 2 87" xfId="894"/>
    <cellStyle name="Обычный 2 88" xfId="895"/>
    <cellStyle name="Обычный 2 89" xfId="896"/>
    <cellStyle name="Обычный 2 9" xfId="897"/>
    <cellStyle name="Обычный 2 9 10" xfId="898"/>
    <cellStyle name="Обычный 2 9 11" xfId="899"/>
    <cellStyle name="Обычный 2 9 12" xfId="900"/>
    <cellStyle name="Обычный 2 9 13" xfId="901"/>
    <cellStyle name="Обычный 2 9 14" xfId="902"/>
    <cellStyle name="Обычный 2 9 15" xfId="903"/>
    <cellStyle name="Обычный 2 9 16" xfId="904"/>
    <cellStyle name="Обычный 2 9 17" xfId="905"/>
    <cellStyle name="Обычный 2 9 18" xfId="906"/>
    <cellStyle name="Обычный 2 9 2" xfId="907"/>
    <cellStyle name="Обычный 2 9 3" xfId="908"/>
    <cellStyle name="Обычный 2 9 4" xfId="909"/>
    <cellStyle name="Обычный 2 9 5" xfId="910"/>
    <cellStyle name="Обычный 2 9 6" xfId="911"/>
    <cellStyle name="Обычный 2 9 7" xfId="912"/>
    <cellStyle name="Обычный 2 9 8" xfId="913"/>
    <cellStyle name="Обычный 2 9 9" xfId="914"/>
    <cellStyle name="Обычный 2 90" xfId="915"/>
    <cellStyle name="Обычный 2 91" xfId="916"/>
    <cellStyle name="Обычный 2 92" xfId="917"/>
    <cellStyle name="Обычный 2 93" xfId="918"/>
    <cellStyle name="Обычный 2 94" xfId="919"/>
    <cellStyle name="Обычный 2 95" xfId="920"/>
    <cellStyle name="Обычный 2 96" xfId="921"/>
    <cellStyle name="Обычный 2 97" xfId="922"/>
    <cellStyle name="Обычный 20" xfId="923"/>
    <cellStyle name="Обычный 21" xfId="924"/>
    <cellStyle name="Обычный 3" xfId="925"/>
    <cellStyle name="Обычный 4" xfId="926"/>
    <cellStyle name="Обычный 5" xfId="927"/>
    <cellStyle name="Обычный 6" xfId="928"/>
    <cellStyle name="Обычный 7" xfId="929"/>
    <cellStyle name="Обычный 8" xfId="930"/>
    <cellStyle name="Обычный 9" xfId="931"/>
    <cellStyle name="Обычный_tmp" xfId="932"/>
    <cellStyle name="Обычный_tmp_2 кв. 2011 за полугодие  (2)" xfId="933"/>
    <cellStyle name="Отдельная ячейка" xfId="934"/>
    <cellStyle name="Отдельная ячейка - константа" xfId="935"/>
    <cellStyle name="Отдельная ячейка - константа [печать]" xfId="936"/>
    <cellStyle name="Отдельная ячейка - константа [печать] 10" xfId="937"/>
    <cellStyle name="Отдельная ячейка - константа [печать] 11" xfId="938"/>
    <cellStyle name="Отдельная ячейка - константа [печать] 12" xfId="939"/>
    <cellStyle name="Отдельная ячейка - константа [печать] 13" xfId="940"/>
    <cellStyle name="Отдельная ячейка - константа [печать] 14" xfId="941"/>
    <cellStyle name="Отдельная ячейка - константа [печать] 15" xfId="942"/>
    <cellStyle name="Отдельная ячейка - константа [печать] 16" xfId="943"/>
    <cellStyle name="Отдельная ячейка - константа [печать] 17" xfId="944"/>
    <cellStyle name="Отдельная ячейка - константа [печать] 18" xfId="945"/>
    <cellStyle name="Отдельная ячейка - константа [печать] 19" xfId="946"/>
    <cellStyle name="Отдельная ячейка - константа [печать] 2" xfId="947"/>
    <cellStyle name="Отдельная ячейка - константа [печать] 20" xfId="948"/>
    <cellStyle name="Отдельная ячейка - константа [печать] 21" xfId="949"/>
    <cellStyle name="Отдельная ячейка - константа [печать] 22" xfId="950"/>
    <cellStyle name="Отдельная ячейка - константа [печать] 23" xfId="951"/>
    <cellStyle name="Отдельная ячейка - константа [печать] 24" xfId="952"/>
    <cellStyle name="Отдельная ячейка - константа [печать] 25" xfId="953"/>
    <cellStyle name="Отдельная ячейка - константа [печать] 26" xfId="954"/>
    <cellStyle name="Отдельная ячейка - константа [печать] 27" xfId="955"/>
    <cellStyle name="Отдельная ячейка - константа [печать] 28" xfId="956"/>
    <cellStyle name="Отдельная ячейка - константа [печать] 29" xfId="957"/>
    <cellStyle name="Отдельная ячейка - константа [печать] 3" xfId="958"/>
    <cellStyle name="Отдельная ячейка - константа [печать] 30" xfId="959"/>
    <cellStyle name="Отдельная ячейка - константа [печать] 31" xfId="960"/>
    <cellStyle name="Отдельная ячейка - константа [печать] 32" xfId="961"/>
    <cellStyle name="Отдельная ячейка - константа [печать] 33" xfId="962"/>
    <cellStyle name="Отдельная ячейка - константа [печать] 34" xfId="963"/>
    <cellStyle name="Отдельная ячейка - константа [печать] 35" xfId="964"/>
    <cellStyle name="Отдельная ячейка - константа [печать] 36" xfId="965"/>
    <cellStyle name="Отдельная ячейка - константа [печать] 37" xfId="966"/>
    <cellStyle name="Отдельная ячейка - константа [печать] 38" xfId="967"/>
    <cellStyle name="Отдельная ячейка - константа [печать] 39" xfId="968"/>
    <cellStyle name="Отдельная ячейка - константа [печать] 4" xfId="969"/>
    <cellStyle name="Отдельная ячейка - константа [печать] 40" xfId="970"/>
    <cellStyle name="Отдельная ячейка - константа [печать] 41" xfId="971"/>
    <cellStyle name="Отдельная ячейка - константа [печать] 42" xfId="972"/>
    <cellStyle name="Отдельная ячейка - константа [печать] 43" xfId="973"/>
    <cellStyle name="Отдельная ячейка - константа [печать] 44" xfId="974"/>
    <cellStyle name="Отдельная ячейка - константа [печать] 45" xfId="975"/>
    <cellStyle name="Отдельная ячейка - константа [печать] 46" xfId="976"/>
    <cellStyle name="Отдельная ячейка - константа [печать] 47" xfId="977"/>
    <cellStyle name="Отдельная ячейка - константа [печать] 48" xfId="978"/>
    <cellStyle name="Отдельная ячейка - константа [печать] 49" xfId="979"/>
    <cellStyle name="Отдельная ячейка - константа [печать] 5" xfId="980"/>
    <cellStyle name="Отдельная ячейка - константа [печать] 50" xfId="981"/>
    <cellStyle name="Отдельная ячейка - константа [печать] 51" xfId="982"/>
    <cellStyle name="Отдельная ячейка - константа [печать] 52" xfId="983"/>
    <cellStyle name="Отдельная ячейка - константа [печать] 53" xfId="984"/>
    <cellStyle name="Отдельная ячейка - константа [печать] 54" xfId="985"/>
    <cellStyle name="Отдельная ячейка - константа [печать] 55" xfId="986"/>
    <cellStyle name="Отдельная ячейка - константа [печать] 56" xfId="987"/>
    <cellStyle name="Отдельная ячейка - константа [печать] 57" xfId="988"/>
    <cellStyle name="Отдельная ячейка - константа [печать] 58" xfId="989"/>
    <cellStyle name="Отдельная ячейка - константа [печать] 59" xfId="990"/>
    <cellStyle name="Отдельная ячейка - константа [печать] 6" xfId="991"/>
    <cellStyle name="Отдельная ячейка - константа [печать] 60" xfId="992"/>
    <cellStyle name="Отдельная ячейка - константа [печать] 61" xfId="993"/>
    <cellStyle name="Отдельная ячейка - константа [печать] 62" xfId="994"/>
    <cellStyle name="Отдельная ячейка - константа [печать] 7" xfId="995"/>
    <cellStyle name="Отдельная ячейка - константа [печать] 8" xfId="996"/>
    <cellStyle name="Отдельная ячейка - константа [печать] 9" xfId="997"/>
    <cellStyle name="Отдельная ячейка - константа 10" xfId="998"/>
    <cellStyle name="Отдельная ячейка - константа 11" xfId="999"/>
    <cellStyle name="Отдельная ячейка - константа 12" xfId="1000"/>
    <cellStyle name="Отдельная ячейка - константа 13" xfId="1001"/>
    <cellStyle name="Отдельная ячейка - константа 14" xfId="1002"/>
    <cellStyle name="Отдельная ячейка - константа 15" xfId="1003"/>
    <cellStyle name="Отдельная ячейка - константа 16" xfId="1004"/>
    <cellStyle name="Отдельная ячейка - константа 17" xfId="1005"/>
    <cellStyle name="Отдельная ячейка - константа 18" xfId="1006"/>
    <cellStyle name="Отдельная ячейка - константа 19" xfId="1007"/>
    <cellStyle name="Отдельная ячейка - константа 2" xfId="1008"/>
    <cellStyle name="Отдельная ячейка - константа 20" xfId="1009"/>
    <cellStyle name="Отдельная ячейка - константа 21" xfId="1010"/>
    <cellStyle name="Отдельная ячейка - константа 22" xfId="1011"/>
    <cellStyle name="Отдельная ячейка - константа 23" xfId="1012"/>
    <cellStyle name="Отдельная ячейка - константа 24" xfId="1013"/>
    <cellStyle name="Отдельная ячейка - константа 25" xfId="1014"/>
    <cellStyle name="Отдельная ячейка - константа 26" xfId="1015"/>
    <cellStyle name="Отдельная ячейка - константа 27" xfId="1016"/>
    <cellStyle name="Отдельная ячейка - константа 28" xfId="1017"/>
    <cellStyle name="Отдельная ячейка - константа 29" xfId="1018"/>
    <cellStyle name="Отдельная ячейка - константа 3" xfId="1019"/>
    <cellStyle name="Отдельная ячейка - константа 30" xfId="1020"/>
    <cellStyle name="Отдельная ячейка - константа 31" xfId="1021"/>
    <cellStyle name="Отдельная ячейка - константа 32" xfId="1022"/>
    <cellStyle name="Отдельная ячейка - константа 33" xfId="1023"/>
    <cellStyle name="Отдельная ячейка - константа 34" xfId="1024"/>
    <cellStyle name="Отдельная ячейка - константа 35" xfId="1025"/>
    <cellStyle name="Отдельная ячейка - константа 36" xfId="1026"/>
    <cellStyle name="Отдельная ячейка - константа 37" xfId="1027"/>
    <cellStyle name="Отдельная ячейка - константа 38" xfId="1028"/>
    <cellStyle name="Отдельная ячейка - константа 39" xfId="1029"/>
    <cellStyle name="Отдельная ячейка - константа 4" xfId="1030"/>
    <cellStyle name="Отдельная ячейка - константа 40" xfId="1031"/>
    <cellStyle name="Отдельная ячейка - константа 41" xfId="1032"/>
    <cellStyle name="Отдельная ячейка - константа 42" xfId="1033"/>
    <cellStyle name="Отдельная ячейка - константа 43" xfId="1034"/>
    <cellStyle name="Отдельная ячейка - константа 44" xfId="1035"/>
    <cellStyle name="Отдельная ячейка - константа 45" xfId="1036"/>
    <cellStyle name="Отдельная ячейка - константа 46" xfId="1037"/>
    <cellStyle name="Отдельная ячейка - константа 47" xfId="1038"/>
    <cellStyle name="Отдельная ячейка - константа 48" xfId="1039"/>
    <cellStyle name="Отдельная ячейка - константа 49" xfId="1040"/>
    <cellStyle name="Отдельная ячейка - константа 5" xfId="1041"/>
    <cellStyle name="Отдельная ячейка - константа 50" xfId="1042"/>
    <cellStyle name="Отдельная ячейка - константа 51" xfId="1043"/>
    <cellStyle name="Отдельная ячейка - константа 52" xfId="1044"/>
    <cellStyle name="Отдельная ячейка - константа 53" xfId="1045"/>
    <cellStyle name="Отдельная ячейка - константа 54" xfId="1046"/>
    <cellStyle name="Отдельная ячейка - константа 55" xfId="1047"/>
    <cellStyle name="Отдельная ячейка - константа 56" xfId="1048"/>
    <cellStyle name="Отдельная ячейка - константа 57" xfId="1049"/>
    <cellStyle name="Отдельная ячейка - константа 58" xfId="1050"/>
    <cellStyle name="Отдельная ячейка - константа 59" xfId="1051"/>
    <cellStyle name="Отдельная ячейка - константа 6" xfId="1052"/>
    <cellStyle name="Отдельная ячейка - константа 60" xfId="1053"/>
    <cellStyle name="Отдельная ячейка - константа 61" xfId="1054"/>
    <cellStyle name="Отдельная ячейка - константа 62" xfId="1055"/>
    <cellStyle name="Отдельная ячейка - константа 7" xfId="1056"/>
    <cellStyle name="Отдельная ячейка - константа 8" xfId="1057"/>
    <cellStyle name="Отдельная ячейка - константа 9" xfId="1058"/>
    <cellStyle name="Отдельная ячейка [печать]" xfId="1059"/>
    <cellStyle name="Отдельная ячейка [печать] 10" xfId="1060"/>
    <cellStyle name="Отдельная ячейка [печать] 11" xfId="1061"/>
    <cellStyle name="Отдельная ячейка [печать] 12" xfId="1062"/>
    <cellStyle name="Отдельная ячейка [печать] 13" xfId="1063"/>
    <cellStyle name="Отдельная ячейка [печать] 14" xfId="1064"/>
    <cellStyle name="Отдельная ячейка [печать] 15" xfId="1065"/>
    <cellStyle name="Отдельная ячейка [печать] 16" xfId="1066"/>
    <cellStyle name="Отдельная ячейка [печать] 17" xfId="1067"/>
    <cellStyle name="Отдельная ячейка [печать] 18" xfId="1068"/>
    <cellStyle name="Отдельная ячейка [печать] 19" xfId="1069"/>
    <cellStyle name="Отдельная ячейка [печать] 2" xfId="1070"/>
    <cellStyle name="Отдельная ячейка [печать] 20" xfId="1071"/>
    <cellStyle name="Отдельная ячейка [печать] 21" xfId="1072"/>
    <cellStyle name="Отдельная ячейка [печать] 22" xfId="1073"/>
    <cellStyle name="Отдельная ячейка [печать] 23" xfId="1074"/>
    <cellStyle name="Отдельная ячейка [печать] 24" xfId="1075"/>
    <cellStyle name="Отдельная ячейка [печать] 25" xfId="1076"/>
    <cellStyle name="Отдельная ячейка [печать] 26" xfId="1077"/>
    <cellStyle name="Отдельная ячейка [печать] 27" xfId="1078"/>
    <cellStyle name="Отдельная ячейка [печать] 28" xfId="1079"/>
    <cellStyle name="Отдельная ячейка [печать] 29" xfId="1080"/>
    <cellStyle name="Отдельная ячейка [печать] 3" xfId="1081"/>
    <cellStyle name="Отдельная ячейка [печать] 30" xfId="1082"/>
    <cellStyle name="Отдельная ячейка [печать] 31" xfId="1083"/>
    <cellStyle name="Отдельная ячейка [печать] 32" xfId="1084"/>
    <cellStyle name="Отдельная ячейка [печать] 33" xfId="1085"/>
    <cellStyle name="Отдельная ячейка [печать] 34" xfId="1086"/>
    <cellStyle name="Отдельная ячейка [печать] 35" xfId="1087"/>
    <cellStyle name="Отдельная ячейка [печать] 36" xfId="1088"/>
    <cellStyle name="Отдельная ячейка [печать] 37" xfId="1089"/>
    <cellStyle name="Отдельная ячейка [печать] 38" xfId="1090"/>
    <cellStyle name="Отдельная ячейка [печать] 39" xfId="1091"/>
    <cellStyle name="Отдельная ячейка [печать] 4" xfId="1092"/>
    <cellStyle name="Отдельная ячейка [печать] 40" xfId="1093"/>
    <cellStyle name="Отдельная ячейка [печать] 41" xfId="1094"/>
    <cellStyle name="Отдельная ячейка [печать] 42" xfId="1095"/>
    <cellStyle name="Отдельная ячейка [печать] 43" xfId="1096"/>
    <cellStyle name="Отдельная ячейка [печать] 44" xfId="1097"/>
    <cellStyle name="Отдельная ячейка [печать] 45" xfId="1098"/>
    <cellStyle name="Отдельная ячейка [печать] 46" xfId="1099"/>
    <cellStyle name="Отдельная ячейка [печать] 47" xfId="1100"/>
    <cellStyle name="Отдельная ячейка [печать] 48" xfId="1101"/>
    <cellStyle name="Отдельная ячейка [печать] 49" xfId="1102"/>
    <cellStyle name="Отдельная ячейка [печать] 5" xfId="1103"/>
    <cellStyle name="Отдельная ячейка [печать] 50" xfId="1104"/>
    <cellStyle name="Отдельная ячейка [печать] 51" xfId="1105"/>
    <cellStyle name="Отдельная ячейка [печать] 52" xfId="1106"/>
    <cellStyle name="Отдельная ячейка [печать] 53" xfId="1107"/>
    <cellStyle name="Отдельная ячейка [печать] 54" xfId="1108"/>
    <cellStyle name="Отдельная ячейка [печать] 55" xfId="1109"/>
    <cellStyle name="Отдельная ячейка [печать] 56" xfId="1110"/>
    <cellStyle name="Отдельная ячейка [печать] 57" xfId="1111"/>
    <cellStyle name="Отдельная ячейка [печать] 58" xfId="1112"/>
    <cellStyle name="Отдельная ячейка [печать] 59" xfId="1113"/>
    <cellStyle name="Отдельная ячейка [печать] 6" xfId="1114"/>
    <cellStyle name="Отдельная ячейка [печать] 60" xfId="1115"/>
    <cellStyle name="Отдельная ячейка [печать] 61" xfId="1116"/>
    <cellStyle name="Отдельная ячейка [печать] 62" xfId="1117"/>
    <cellStyle name="Отдельная ячейка [печать] 7" xfId="1118"/>
    <cellStyle name="Отдельная ячейка [печать] 8" xfId="1119"/>
    <cellStyle name="Отдельная ячейка [печать] 9" xfId="1120"/>
    <cellStyle name="Отдельная ячейка 10" xfId="1121"/>
    <cellStyle name="Отдельная ячейка 11" xfId="1122"/>
    <cellStyle name="Отдельная ячейка 12" xfId="1123"/>
    <cellStyle name="Отдельная ячейка 13" xfId="1124"/>
    <cellStyle name="Отдельная ячейка 14" xfId="1125"/>
    <cellStyle name="Отдельная ячейка 15" xfId="1126"/>
    <cellStyle name="Отдельная ячейка 16" xfId="1127"/>
    <cellStyle name="Отдельная ячейка 17" xfId="1128"/>
    <cellStyle name="Отдельная ячейка 18" xfId="1129"/>
    <cellStyle name="Отдельная ячейка 19" xfId="1130"/>
    <cellStyle name="Отдельная ячейка 2" xfId="1131"/>
    <cellStyle name="Отдельная ячейка 20" xfId="1132"/>
    <cellStyle name="Отдельная ячейка 21" xfId="1133"/>
    <cellStyle name="Отдельная ячейка 22" xfId="1134"/>
    <cellStyle name="Отдельная ячейка 23" xfId="1135"/>
    <cellStyle name="Отдельная ячейка 24" xfId="1136"/>
    <cellStyle name="Отдельная ячейка 25" xfId="1137"/>
    <cellStyle name="Отдельная ячейка 26" xfId="1138"/>
    <cellStyle name="Отдельная ячейка 27" xfId="1139"/>
    <cellStyle name="Отдельная ячейка 28" xfId="1140"/>
    <cellStyle name="Отдельная ячейка 29" xfId="1141"/>
    <cellStyle name="Отдельная ячейка 3" xfId="1142"/>
    <cellStyle name="Отдельная ячейка 30" xfId="1143"/>
    <cellStyle name="Отдельная ячейка 31" xfId="1144"/>
    <cellStyle name="Отдельная ячейка 32" xfId="1145"/>
    <cellStyle name="Отдельная ячейка 33" xfId="1146"/>
    <cellStyle name="Отдельная ячейка 34" xfId="1147"/>
    <cellStyle name="Отдельная ячейка 35" xfId="1148"/>
    <cellStyle name="Отдельная ячейка 36" xfId="1149"/>
    <cellStyle name="Отдельная ячейка 37" xfId="1150"/>
    <cellStyle name="Отдельная ячейка 38" xfId="1151"/>
    <cellStyle name="Отдельная ячейка 39" xfId="1152"/>
    <cellStyle name="Отдельная ячейка 4" xfId="1153"/>
    <cellStyle name="Отдельная ячейка 40" xfId="1154"/>
    <cellStyle name="Отдельная ячейка 41" xfId="1155"/>
    <cellStyle name="Отдельная ячейка 42" xfId="1156"/>
    <cellStyle name="Отдельная ячейка 43" xfId="1157"/>
    <cellStyle name="Отдельная ячейка 44" xfId="1158"/>
    <cellStyle name="Отдельная ячейка 45" xfId="1159"/>
    <cellStyle name="Отдельная ячейка 46" xfId="1160"/>
    <cellStyle name="Отдельная ячейка 47" xfId="1161"/>
    <cellStyle name="Отдельная ячейка 48" xfId="1162"/>
    <cellStyle name="Отдельная ячейка 49" xfId="1163"/>
    <cellStyle name="Отдельная ячейка 5" xfId="1164"/>
    <cellStyle name="Отдельная ячейка 50" xfId="1165"/>
    <cellStyle name="Отдельная ячейка 51" xfId="1166"/>
    <cellStyle name="Отдельная ячейка 52" xfId="1167"/>
    <cellStyle name="Отдельная ячейка 53" xfId="1168"/>
    <cellStyle name="Отдельная ячейка 54" xfId="1169"/>
    <cellStyle name="Отдельная ячейка 55" xfId="1170"/>
    <cellStyle name="Отдельная ячейка 56" xfId="1171"/>
    <cellStyle name="Отдельная ячейка 57" xfId="1172"/>
    <cellStyle name="Отдельная ячейка 58" xfId="1173"/>
    <cellStyle name="Отдельная ячейка 59" xfId="1174"/>
    <cellStyle name="Отдельная ячейка 6" xfId="1175"/>
    <cellStyle name="Отдельная ячейка 60" xfId="1176"/>
    <cellStyle name="Отдельная ячейка 61" xfId="1177"/>
    <cellStyle name="Отдельная ячейка 62" xfId="1178"/>
    <cellStyle name="Отдельная ячейка 7" xfId="1179"/>
    <cellStyle name="Отдельная ячейка 8" xfId="1180"/>
    <cellStyle name="Отдельная ячейка 9" xfId="1181"/>
    <cellStyle name="Отдельная ячейка-результат" xfId="1182"/>
    <cellStyle name="Отдельная ячейка-результат [печать]" xfId="1183"/>
    <cellStyle name="Отдельная ячейка-результат [печать] 10" xfId="1184"/>
    <cellStyle name="Отдельная ячейка-результат [печать] 11" xfId="1185"/>
    <cellStyle name="Отдельная ячейка-результат [печать] 12" xfId="1186"/>
    <cellStyle name="Отдельная ячейка-результат [печать] 13" xfId="1187"/>
    <cellStyle name="Отдельная ячейка-результат [печать] 14" xfId="1188"/>
    <cellStyle name="Отдельная ячейка-результат [печать] 15" xfId="1189"/>
    <cellStyle name="Отдельная ячейка-результат [печать] 16" xfId="1190"/>
    <cellStyle name="Отдельная ячейка-результат [печать] 17" xfId="1191"/>
    <cellStyle name="Отдельная ячейка-результат [печать] 18" xfId="1192"/>
    <cellStyle name="Отдельная ячейка-результат [печать] 19" xfId="1193"/>
    <cellStyle name="Отдельная ячейка-результат [печать] 2" xfId="1194"/>
    <cellStyle name="Отдельная ячейка-результат [печать] 20" xfId="1195"/>
    <cellStyle name="Отдельная ячейка-результат [печать] 21" xfId="1196"/>
    <cellStyle name="Отдельная ячейка-результат [печать] 22" xfId="1197"/>
    <cellStyle name="Отдельная ячейка-результат [печать] 23" xfId="1198"/>
    <cellStyle name="Отдельная ячейка-результат [печать] 24" xfId="1199"/>
    <cellStyle name="Отдельная ячейка-результат [печать] 25" xfId="1200"/>
    <cellStyle name="Отдельная ячейка-результат [печать] 26" xfId="1201"/>
    <cellStyle name="Отдельная ячейка-результат [печать] 27" xfId="1202"/>
    <cellStyle name="Отдельная ячейка-результат [печать] 28" xfId="1203"/>
    <cellStyle name="Отдельная ячейка-результат [печать] 29" xfId="1204"/>
    <cellStyle name="Отдельная ячейка-результат [печать] 3" xfId="1205"/>
    <cellStyle name="Отдельная ячейка-результат [печать] 30" xfId="1206"/>
    <cellStyle name="Отдельная ячейка-результат [печать] 31" xfId="1207"/>
    <cellStyle name="Отдельная ячейка-результат [печать] 32" xfId="1208"/>
    <cellStyle name="Отдельная ячейка-результат [печать] 33" xfId="1209"/>
    <cellStyle name="Отдельная ячейка-результат [печать] 34" xfId="1210"/>
    <cellStyle name="Отдельная ячейка-результат [печать] 35" xfId="1211"/>
    <cellStyle name="Отдельная ячейка-результат [печать] 36" xfId="1212"/>
    <cellStyle name="Отдельная ячейка-результат [печать] 37" xfId="1213"/>
    <cellStyle name="Отдельная ячейка-результат [печать] 38" xfId="1214"/>
    <cellStyle name="Отдельная ячейка-результат [печать] 39" xfId="1215"/>
    <cellStyle name="Отдельная ячейка-результат [печать] 4" xfId="1216"/>
    <cellStyle name="Отдельная ячейка-результат [печать] 40" xfId="1217"/>
    <cellStyle name="Отдельная ячейка-результат [печать] 41" xfId="1218"/>
    <cellStyle name="Отдельная ячейка-результат [печать] 42" xfId="1219"/>
    <cellStyle name="Отдельная ячейка-результат [печать] 43" xfId="1220"/>
    <cellStyle name="Отдельная ячейка-результат [печать] 44" xfId="1221"/>
    <cellStyle name="Отдельная ячейка-результат [печать] 45" xfId="1222"/>
    <cellStyle name="Отдельная ячейка-результат [печать] 46" xfId="1223"/>
    <cellStyle name="Отдельная ячейка-результат [печать] 47" xfId="1224"/>
    <cellStyle name="Отдельная ячейка-результат [печать] 48" xfId="1225"/>
    <cellStyle name="Отдельная ячейка-результат [печать] 49" xfId="1226"/>
    <cellStyle name="Отдельная ячейка-результат [печать] 5" xfId="1227"/>
    <cellStyle name="Отдельная ячейка-результат [печать] 50" xfId="1228"/>
    <cellStyle name="Отдельная ячейка-результат [печать] 51" xfId="1229"/>
    <cellStyle name="Отдельная ячейка-результат [печать] 52" xfId="1230"/>
    <cellStyle name="Отдельная ячейка-результат [печать] 53" xfId="1231"/>
    <cellStyle name="Отдельная ячейка-результат [печать] 54" xfId="1232"/>
    <cellStyle name="Отдельная ячейка-результат [печать] 55" xfId="1233"/>
    <cellStyle name="Отдельная ячейка-результат [печать] 56" xfId="1234"/>
    <cellStyle name="Отдельная ячейка-результат [печать] 57" xfId="1235"/>
    <cellStyle name="Отдельная ячейка-результат [печать] 58" xfId="1236"/>
    <cellStyle name="Отдельная ячейка-результат [печать] 59" xfId="1237"/>
    <cellStyle name="Отдельная ячейка-результат [печать] 6" xfId="1238"/>
    <cellStyle name="Отдельная ячейка-результат [печать] 60" xfId="1239"/>
    <cellStyle name="Отдельная ячейка-результат [печать] 61" xfId="1240"/>
    <cellStyle name="Отдельная ячейка-результат [печать] 62" xfId="1241"/>
    <cellStyle name="Отдельная ячейка-результат [печать] 7" xfId="1242"/>
    <cellStyle name="Отдельная ячейка-результат [печать] 8" xfId="1243"/>
    <cellStyle name="Отдельная ячейка-результат [печать] 9" xfId="1244"/>
    <cellStyle name="Отдельная ячейка-результат 10" xfId="1245"/>
    <cellStyle name="Отдельная ячейка-результат 11" xfId="1246"/>
    <cellStyle name="Отдельная ячейка-результат 12" xfId="1247"/>
    <cellStyle name="Отдельная ячейка-результат 13" xfId="1248"/>
    <cellStyle name="Отдельная ячейка-результат 14" xfId="1249"/>
    <cellStyle name="Отдельная ячейка-результат 15" xfId="1250"/>
    <cellStyle name="Отдельная ячейка-результат 16" xfId="1251"/>
    <cellStyle name="Отдельная ячейка-результат 17" xfId="1252"/>
    <cellStyle name="Отдельная ячейка-результат 18" xfId="1253"/>
    <cellStyle name="Отдельная ячейка-результат 19" xfId="1254"/>
    <cellStyle name="Отдельная ячейка-результат 2" xfId="1255"/>
    <cellStyle name="Отдельная ячейка-результат 20" xfId="1256"/>
    <cellStyle name="Отдельная ячейка-результат 21" xfId="1257"/>
    <cellStyle name="Отдельная ячейка-результат 22" xfId="1258"/>
    <cellStyle name="Отдельная ячейка-результат 23" xfId="1259"/>
    <cellStyle name="Отдельная ячейка-результат 24" xfId="1260"/>
    <cellStyle name="Отдельная ячейка-результат 25" xfId="1261"/>
    <cellStyle name="Отдельная ячейка-результат 26" xfId="1262"/>
    <cellStyle name="Отдельная ячейка-результат 27" xfId="1263"/>
    <cellStyle name="Отдельная ячейка-результат 28" xfId="1264"/>
    <cellStyle name="Отдельная ячейка-результат 29" xfId="1265"/>
    <cellStyle name="Отдельная ячейка-результат 3" xfId="1266"/>
    <cellStyle name="Отдельная ячейка-результат 30" xfId="1267"/>
    <cellStyle name="Отдельная ячейка-результат 31" xfId="1268"/>
    <cellStyle name="Отдельная ячейка-результат 32" xfId="1269"/>
    <cellStyle name="Отдельная ячейка-результат 33" xfId="1270"/>
    <cellStyle name="Отдельная ячейка-результат 34" xfId="1271"/>
    <cellStyle name="Отдельная ячейка-результат 35" xfId="1272"/>
    <cellStyle name="Отдельная ячейка-результат 36" xfId="1273"/>
    <cellStyle name="Отдельная ячейка-результат 37" xfId="1274"/>
    <cellStyle name="Отдельная ячейка-результат 38" xfId="1275"/>
    <cellStyle name="Отдельная ячейка-результат 39" xfId="1276"/>
    <cellStyle name="Отдельная ячейка-результат 4" xfId="1277"/>
    <cellStyle name="Отдельная ячейка-результат 40" xfId="1278"/>
    <cellStyle name="Отдельная ячейка-результат 41" xfId="1279"/>
    <cellStyle name="Отдельная ячейка-результат 42" xfId="1280"/>
    <cellStyle name="Отдельная ячейка-результат 43" xfId="1281"/>
    <cellStyle name="Отдельная ячейка-результат 44" xfId="1282"/>
    <cellStyle name="Отдельная ячейка-результат 45" xfId="1283"/>
    <cellStyle name="Отдельная ячейка-результат 46" xfId="1284"/>
    <cellStyle name="Отдельная ячейка-результат 47" xfId="1285"/>
    <cellStyle name="Отдельная ячейка-результат 48" xfId="1286"/>
    <cellStyle name="Отдельная ячейка-результат 49" xfId="1287"/>
    <cellStyle name="Отдельная ячейка-результат 5" xfId="1288"/>
    <cellStyle name="Отдельная ячейка-результат 50" xfId="1289"/>
    <cellStyle name="Отдельная ячейка-результат 51" xfId="1290"/>
    <cellStyle name="Отдельная ячейка-результат 52" xfId="1291"/>
    <cellStyle name="Отдельная ячейка-результат 53" xfId="1292"/>
    <cellStyle name="Отдельная ячейка-результат 54" xfId="1293"/>
    <cellStyle name="Отдельная ячейка-результат 55" xfId="1294"/>
    <cellStyle name="Отдельная ячейка-результат 56" xfId="1295"/>
    <cellStyle name="Отдельная ячейка-результат 57" xfId="1296"/>
    <cellStyle name="Отдельная ячейка-результат 58" xfId="1297"/>
    <cellStyle name="Отдельная ячейка-результат 59" xfId="1298"/>
    <cellStyle name="Отдельная ячейка-результат 6" xfId="1299"/>
    <cellStyle name="Отдельная ячейка-результат 60" xfId="1300"/>
    <cellStyle name="Отдельная ячейка-результат 61" xfId="1301"/>
    <cellStyle name="Отдельная ячейка-результат 62" xfId="1302"/>
    <cellStyle name="Отдельная ячейка-результат 7" xfId="1303"/>
    <cellStyle name="Отдельная ячейка-результат 8" xfId="1304"/>
    <cellStyle name="Отдельная ячейка-результат 9" xfId="1305"/>
    <cellStyle name="Followed Hyperlink" xfId="1306"/>
    <cellStyle name="Плохой" xfId="1307"/>
    <cellStyle name="Пояснение" xfId="1308"/>
    <cellStyle name="Примечание" xfId="1309"/>
    <cellStyle name="Примечание 10" xfId="1310"/>
    <cellStyle name="Примечание 11" xfId="1311"/>
    <cellStyle name="Примечание 12" xfId="1312"/>
    <cellStyle name="Примечание 13" xfId="1313"/>
    <cellStyle name="Примечание 14" xfId="1314"/>
    <cellStyle name="Примечание 15" xfId="1315"/>
    <cellStyle name="Примечание 16" xfId="1316"/>
    <cellStyle name="Примечание 17" xfId="1317"/>
    <cellStyle name="Примечание 18" xfId="1318"/>
    <cellStyle name="Примечание 19" xfId="1319"/>
    <cellStyle name="Примечание 2" xfId="1320"/>
    <cellStyle name="Примечание 20" xfId="1321"/>
    <cellStyle name="Примечание 21" xfId="1322"/>
    <cellStyle name="Примечание 22" xfId="1323"/>
    <cellStyle name="Примечание 23" xfId="1324"/>
    <cellStyle name="Примечание 24" xfId="1325"/>
    <cellStyle name="Примечание 25" xfId="1326"/>
    <cellStyle name="Примечание 26" xfId="1327"/>
    <cellStyle name="Примечание 27" xfId="1328"/>
    <cellStyle name="Примечание 28" xfId="1329"/>
    <cellStyle name="Примечание 29" xfId="1330"/>
    <cellStyle name="Примечание 3" xfId="1331"/>
    <cellStyle name="Примечание 30" xfId="1332"/>
    <cellStyle name="Примечание 31" xfId="1333"/>
    <cellStyle name="Примечание 32" xfId="1334"/>
    <cellStyle name="Примечание 33" xfId="1335"/>
    <cellStyle name="Примечание 34" xfId="1336"/>
    <cellStyle name="Примечание 35" xfId="1337"/>
    <cellStyle name="Примечание 36" xfId="1338"/>
    <cellStyle name="Примечание 37" xfId="1339"/>
    <cellStyle name="Примечание 38" xfId="1340"/>
    <cellStyle name="Примечание 39" xfId="1341"/>
    <cellStyle name="Примечание 4" xfId="1342"/>
    <cellStyle name="Примечание 40" xfId="1343"/>
    <cellStyle name="Примечание 41" xfId="1344"/>
    <cellStyle name="Примечание 42" xfId="1345"/>
    <cellStyle name="Примечание 43" xfId="1346"/>
    <cellStyle name="Примечание 44" xfId="1347"/>
    <cellStyle name="Примечание 45" xfId="1348"/>
    <cellStyle name="Примечание 46" xfId="1349"/>
    <cellStyle name="Примечание 47" xfId="1350"/>
    <cellStyle name="Примечание 48" xfId="1351"/>
    <cellStyle name="Примечание 49" xfId="1352"/>
    <cellStyle name="Примечание 5" xfId="1353"/>
    <cellStyle name="Примечание 50" xfId="1354"/>
    <cellStyle name="Примечание 51" xfId="1355"/>
    <cellStyle name="Примечание 52" xfId="1356"/>
    <cellStyle name="Примечание 53" xfId="1357"/>
    <cellStyle name="Примечание 54" xfId="1358"/>
    <cellStyle name="Примечание 55" xfId="1359"/>
    <cellStyle name="Примечание 56" xfId="1360"/>
    <cellStyle name="Примечание 57" xfId="1361"/>
    <cellStyle name="Примечание 58" xfId="1362"/>
    <cellStyle name="Примечание 59" xfId="1363"/>
    <cellStyle name="Примечание 6" xfId="1364"/>
    <cellStyle name="Примечание 60" xfId="1365"/>
    <cellStyle name="Примечание 7" xfId="1366"/>
    <cellStyle name="Примечание 8" xfId="1367"/>
    <cellStyle name="Примечание 9" xfId="1368"/>
    <cellStyle name="Percent" xfId="1369"/>
    <cellStyle name="Свойства элементов измерения" xfId="1370"/>
    <cellStyle name="Свойства элементов измерения [печать]" xfId="1371"/>
    <cellStyle name="Свойства элементов измерения [печать] 10" xfId="1372"/>
    <cellStyle name="Свойства элементов измерения [печать] 11" xfId="1373"/>
    <cellStyle name="Свойства элементов измерения [печать] 12" xfId="1374"/>
    <cellStyle name="Свойства элементов измерения [печать] 13" xfId="1375"/>
    <cellStyle name="Свойства элементов измерения [печать] 14" xfId="1376"/>
    <cellStyle name="Свойства элементов измерения [печать] 15" xfId="1377"/>
    <cellStyle name="Свойства элементов измерения [печать] 16" xfId="1378"/>
    <cellStyle name="Свойства элементов измерения [печать] 17" xfId="1379"/>
    <cellStyle name="Свойства элементов измерения [печать] 18" xfId="1380"/>
    <cellStyle name="Свойства элементов измерения [печать] 19" xfId="1381"/>
    <cellStyle name="Свойства элементов измерения [печать] 2" xfId="1382"/>
    <cellStyle name="Свойства элементов измерения [печать] 20" xfId="1383"/>
    <cellStyle name="Свойства элементов измерения [печать] 21" xfId="1384"/>
    <cellStyle name="Свойства элементов измерения [печать] 22" xfId="1385"/>
    <cellStyle name="Свойства элементов измерения [печать] 23" xfId="1386"/>
    <cellStyle name="Свойства элементов измерения [печать] 24" xfId="1387"/>
    <cellStyle name="Свойства элементов измерения [печать] 25" xfId="1388"/>
    <cellStyle name="Свойства элементов измерения [печать] 26" xfId="1389"/>
    <cellStyle name="Свойства элементов измерения [печать] 27" xfId="1390"/>
    <cellStyle name="Свойства элементов измерения [печать] 28" xfId="1391"/>
    <cellStyle name="Свойства элементов измерения [печать] 29" xfId="1392"/>
    <cellStyle name="Свойства элементов измерения [печать] 3" xfId="1393"/>
    <cellStyle name="Свойства элементов измерения [печать] 30" xfId="1394"/>
    <cellStyle name="Свойства элементов измерения [печать] 31" xfId="1395"/>
    <cellStyle name="Свойства элементов измерения [печать] 32" xfId="1396"/>
    <cellStyle name="Свойства элементов измерения [печать] 33" xfId="1397"/>
    <cellStyle name="Свойства элементов измерения [печать] 34" xfId="1398"/>
    <cellStyle name="Свойства элементов измерения [печать] 35" xfId="1399"/>
    <cellStyle name="Свойства элементов измерения [печать] 36" xfId="1400"/>
    <cellStyle name="Свойства элементов измерения [печать] 37" xfId="1401"/>
    <cellStyle name="Свойства элементов измерения [печать] 38" xfId="1402"/>
    <cellStyle name="Свойства элементов измерения [печать] 39" xfId="1403"/>
    <cellStyle name="Свойства элементов измерения [печать] 4" xfId="1404"/>
    <cellStyle name="Свойства элементов измерения [печать] 40" xfId="1405"/>
    <cellStyle name="Свойства элементов измерения [печать] 41" xfId="1406"/>
    <cellStyle name="Свойства элементов измерения [печать] 42" xfId="1407"/>
    <cellStyle name="Свойства элементов измерения [печать] 43" xfId="1408"/>
    <cellStyle name="Свойства элементов измерения [печать] 44" xfId="1409"/>
    <cellStyle name="Свойства элементов измерения [печать] 45" xfId="1410"/>
    <cellStyle name="Свойства элементов измерения [печать] 46" xfId="1411"/>
    <cellStyle name="Свойства элементов измерения [печать] 47" xfId="1412"/>
    <cellStyle name="Свойства элементов измерения [печать] 48" xfId="1413"/>
    <cellStyle name="Свойства элементов измерения [печать] 49" xfId="1414"/>
    <cellStyle name="Свойства элементов измерения [печать] 5" xfId="1415"/>
    <cellStyle name="Свойства элементов измерения [печать] 50" xfId="1416"/>
    <cellStyle name="Свойства элементов измерения [печать] 51" xfId="1417"/>
    <cellStyle name="Свойства элементов измерения [печать] 52" xfId="1418"/>
    <cellStyle name="Свойства элементов измерения [печать] 53" xfId="1419"/>
    <cellStyle name="Свойства элементов измерения [печать] 54" xfId="1420"/>
    <cellStyle name="Свойства элементов измерения [печать] 55" xfId="1421"/>
    <cellStyle name="Свойства элементов измерения [печать] 56" xfId="1422"/>
    <cellStyle name="Свойства элементов измерения [печать] 57" xfId="1423"/>
    <cellStyle name="Свойства элементов измерения [печать] 58" xfId="1424"/>
    <cellStyle name="Свойства элементов измерения [печать] 59" xfId="1425"/>
    <cellStyle name="Свойства элементов измерения [печать] 6" xfId="1426"/>
    <cellStyle name="Свойства элементов измерения [печать] 60" xfId="1427"/>
    <cellStyle name="Свойства элементов измерения [печать] 61" xfId="1428"/>
    <cellStyle name="Свойства элементов измерения [печать] 62" xfId="1429"/>
    <cellStyle name="Свойства элементов измерения [печать] 7" xfId="1430"/>
    <cellStyle name="Свойства элементов измерения [печать] 8" xfId="1431"/>
    <cellStyle name="Свойства элементов измерения [печать] 9" xfId="1432"/>
    <cellStyle name="Связанная ячейка" xfId="1433"/>
    <cellStyle name="Текст предупреждения" xfId="1434"/>
    <cellStyle name="Comma" xfId="1435"/>
    <cellStyle name="Comma [0]" xfId="1436"/>
    <cellStyle name="Финансовый 2" xfId="1437"/>
    <cellStyle name="Хороший" xfId="1438"/>
    <cellStyle name="Элементы осей" xfId="1439"/>
    <cellStyle name="Элементы осей [печать]" xfId="1440"/>
    <cellStyle name="Элементы осей [печать] 10" xfId="1441"/>
    <cellStyle name="Элементы осей [печать] 11" xfId="1442"/>
    <cellStyle name="Элементы осей [печать] 12" xfId="1443"/>
    <cellStyle name="Элементы осей [печать] 13" xfId="1444"/>
    <cellStyle name="Элементы осей [печать] 14" xfId="1445"/>
    <cellStyle name="Элементы осей [печать] 15" xfId="1446"/>
    <cellStyle name="Элементы осей [печать] 16" xfId="1447"/>
    <cellStyle name="Элементы осей [печать] 17" xfId="1448"/>
    <cellStyle name="Элементы осей [печать] 18" xfId="1449"/>
    <cellStyle name="Элементы осей [печать] 19" xfId="1450"/>
    <cellStyle name="Элементы осей [печать] 2" xfId="1451"/>
    <cellStyle name="Элементы осей [печать] 20" xfId="1452"/>
    <cellStyle name="Элементы осей [печать] 21" xfId="1453"/>
    <cellStyle name="Элементы осей [печать] 22" xfId="1454"/>
    <cellStyle name="Элементы осей [печать] 23" xfId="1455"/>
    <cellStyle name="Элементы осей [печать] 24" xfId="1456"/>
    <cellStyle name="Элементы осей [печать] 25" xfId="1457"/>
    <cellStyle name="Элементы осей [печать] 26" xfId="1458"/>
    <cellStyle name="Элементы осей [печать] 27" xfId="1459"/>
    <cellStyle name="Элементы осей [печать] 28" xfId="1460"/>
    <cellStyle name="Элементы осей [печать] 29" xfId="1461"/>
    <cellStyle name="Элементы осей [печать] 3" xfId="1462"/>
    <cellStyle name="Элементы осей [печать] 30" xfId="1463"/>
    <cellStyle name="Элементы осей [печать] 31" xfId="1464"/>
    <cellStyle name="Элементы осей [печать] 32" xfId="1465"/>
    <cellStyle name="Элементы осей [печать] 33" xfId="1466"/>
    <cellStyle name="Элементы осей [печать] 34" xfId="1467"/>
    <cellStyle name="Элементы осей [печать] 35" xfId="1468"/>
    <cellStyle name="Элементы осей [печать] 36" xfId="1469"/>
    <cellStyle name="Элементы осей [печать] 37" xfId="1470"/>
    <cellStyle name="Элементы осей [печать] 38" xfId="1471"/>
    <cellStyle name="Элементы осей [печать] 39" xfId="1472"/>
    <cellStyle name="Элементы осей [печать] 4" xfId="1473"/>
    <cellStyle name="Элементы осей [печать] 40" xfId="1474"/>
    <cellStyle name="Элементы осей [печать] 41" xfId="1475"/>
    <cellStyle name="Элементы осей [печать] 42" xfId="1476"/>
    <cellStyle name="Элементы осей [печать] 43" xfId="1477"/>
    <cellStyle name="Элементы осей [печать] 44" xfId="1478"/>
    <cellStyle name="Элементы осей [печать] 45" xfId="1479"/>
    <cellStyle name="Элементы осей [печать] 46" xfId="1480"/>
    <cellStyle name="Элементы осей [печать] 47" xfId="1481"/>
    <cellStyle name="Элементы осей [печать] 48" xfId="1482"/>
    <cellStyle name="Элементы осей [печать] 49" xfId="1483"/>
    <cellStyle name="Элементы осей [печать] 5" xfId="1484"/>
    <cellStyle name="Элементы осей [печать] 50" xfId="1485"/>
    <cellStyle name="Элементы осей [печать] 51" xfId="1486"/>
    <cellStyle name="Элементы осей [печать] 52" xfId="1487"/>
    <cellStyle name="Элементы осей [печать] 53" xfId="1488"/>
    <cellStyle name="Элементы осей [печать] 54" xfId="1489"/>
    <cellStyle name="Элементы осей [печать] 55" xfId="1490"/>
    <cellStyle name="Элементы осей [печать] 56" xfId="1491"/>
    <cellStyle name="Элементы осей [печать] 57" xfId="1492"/>
    <cellStyle name="Элементы осей [печать] 58" xfId="1493"/>
    <cellStyle name="Элементы осей [печать] 59" xfId="1494"/>
    <cellStyle name="Элементы осей [печать] 6" xfId="1495"/>
    <cellStyle name="Элементы осей [печать] 60" xfId="1496"/>
    <cellStyle name="Элементы осей [печать] 61" xfId="1497"/>
    <cellStyle name="Элементы осей [печать] 62" xfId="1498"/>
    <cellStyle name="Элементы осей [печать] 7" xfId="1499"/>
    <cellStyle name="Элементы осей [печать] 8" xfId="1500"/>
    <cellStyle name="Элементы осей [печать] 9" xfId="1501"/>
    <cellStyle name="Элементы осей 10" xfId="1502"/>
    <cellStyle name="Элементы осей 11" xfId="1503"/>
    <cellStyle name="Элементы осей 12" xfId="1504"/>
    <cellStyle name="Элементы осей 13" xfId="1505"/>
    <cellStyle name="Элементы осей 14" xfId="1506"/>
    <cellStyle name="Элементы осей 15" xfId="1507"/>
    <cellStyle name="Элементы осей 16" xfId="1508"/>
    <cellStyle name="Элементы осей 17" xfId="1509"/>
    <cellStyle name="Элементы осей 18" xfId="1510"/>
    <cellStyle name="Элементы осей 19" xfId="1511"/>
    <cellStyle name="Элементы осей 2" xfId="1512"/>
    <cellStyle name="Элементы осей 20" xfId="1513"/>
    <cellStyle name="Элементы осей 21" xfId="1514"/>
    <cellStyle name="Элементы осей 22" xfId="1515"/>
    <cellStyle name="Элементы осей 23" xfId="1516"/>
    <cellStyle name="Элементы осей 24" xfId="1517"/>
    <cellStyle name="Элементы осей 25" xfId="1518"/>
    <cellStyle name="Элементы осей 26" xfId="1519"/>
    <cellStyle name="Элементы осей 27" xfId="1520"/>
    <cellStyle name="Элементы осей 28" xfId="1521"/>
    <cellStyle name="Элементы осей 29" xfId="1522"/>
    <cellStyle name="Элементы осей 3" xfId="1523"/>
    <cellStyle name="Элементы осей 30" xfId="1524"/>
    <cellStyle name="Элементы осей 31" xfId="1525"/>
    <cellStyle name="Элементы осей 32" xfId="1526"/>
    <cellStyle name="Элементы осей 33" xfId="1527"/>
    <cellStyle name="Элементы осей 34" xfId="1528"/>
    <cellStyle name="Элементы осей 35" xfId="1529"/>
    <cellStyle name="Элементы осей 36" xfId="1530"/>
    <cellStyle name="Элементы осей 37" xfId="1531"/>
    <cellStyle name="Элементы осей 38" xfId="1532"/>
    <cellStyle name="Элементы осей 39" xfId="1533"/>
    <cellStyle name="Элементы осей 4" xfId="1534"/>
    <cellStyle name="Элементы осей 40" xfId="1535"/>
    <cellStyle name="Элементы осей 41" xfId="1536"/>
    <cellStyle name="Элементы осей 42" xfId="1537"/>
    <cellStyle name="Элементы осей 43" xfId="1538"/>
    <cellStyle name="Элементы осей 44" xfId="1539"/>
    <cellStyle name="Элементы осей 45" xfId="1540"/>
    <cellStyle name="Элементы осей 46" xfId="1541"/>
    <cellStyle name="Элементы осей 47" xfId="1542"/>
    <cellStyle name="Элементы осей 48" xfId="1543"/>
    <cellStyle name="Элементы осей 49" xfId="1544"/>
    <cellStyle name="Элементы осей 5" xfId="1545"/>
    <cellStyle name="Элементы осей 50" xfId="1546"/>
    <cellStyle name="Элементы осей 51" xfId="1547"/>
    <cellStyle name="Элементы осей 52" xfId="1548"/>
    <cellStyle name="Элементы осей 53" xfId="1549"/>
    <cellStyle name="Элементы осей 54" xfId="1550"/>
    <cellStyle name="Элементы осей 55" xfId="1551"/>
    <cellStyle name="Элементы осей 56" xfId="1552"/>
    <cellStyle name="Элементы осей 57" xfId="1553"/>
    <cellStyle name="Элементы осей 58" xfId="1554"/>
    <cellStyle name="Элементы осей 59" xfId="1555"/>
    <cellStyle name="Элементы осей 6" xfId="1556"/>
    <cellStyle name="Элементы осей 60" xfId="1557"/>
    <cellStyle name="Элементы осей 61" xfId="1558"/>
    <cellStyle name="Элементы осей 62" xfId="1559"/>
    <cellStyle name="Элементы осей 7" xfId="1560"/>
    <cellStyle name="Элементы осей 8" xfId="1561"/>
    <cellStyle name="Элементы осей 9" xfId="15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5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35965"/>
        <c:crosses val="autoZero"/>
        <c:auto val="1"/>
        <c:lblOffset val="100"/>
        <c:tickLblSkip val="1"/>
        <c:noMultiLvlLbl val="0"/>
      </c:catAx>
      <c:valAx>
        <c:axId val="65735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01.10.2022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01.10.2022'!$B$8:$B$32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01.10.2022'!$C$8:$C$32</c:f>
              <c:numCache>
                <c:ptCount val="25"/>
                <c:pt idx="0">
                  <c:v>19.280609678428345</c:v>
                </c:pt>
                <c:pt idx="1">
                  <c:v>21.922174642390267</c:v>
                </c:pt>
                <c:pt idx="2">
                  <c:v>19.705065377719432</c:v>
                </c:pt>
                <c:pt idx="3">
                  <c:v>19.040934117101767</c:v>
                </c:pt>
                <c:pt idx="4">
                  <c:v>21.526336726505495</c:v>
                </c:pt>
                <c:pt idx="5">
                  <c:v>19.972742967342043</c:v>
                </c:pt>
                <c:pt idx="6">
                  <c:v>19.57251946220963</c:v>
                </c:pt>
                <c:pt idx="7">
                  <c:v>23.66427132604518</c:v>
                </c:pt>
                <c:pt idx="8">
                  <c:v>19.562813622362448</c:v>
                </c:pt>
                <c:pt idx="9">
                  <c:v>20.493593149141237</c:v>
                </c:pt>
                <c:pt idx="10">
                  <c:v>19.943035400678536</c:v>
                </c:pt>
                <c:pt idx="11">
                  <c:v>19.215552551698853</c:v>
                </c:pt>
                <c:pt idx="12">
                  <c:v>20.452605455157965</c:v>
                </c:pt>
                <c:pt idx="13">
                  <c:v>19.890330278074604</c:v>
                </c:pt>
                <c:pt idx="14">
                  <c:v>20.643395194850676</c:v>
                </c:pt>
                <c:pt idx="15">
                  <c:v>21.208998057263017</c:v>
                </c:pt>
                <c:pt idx="16">
                  <c:v>17.87327119443251</c:v>
                </c:pt>
                <c:pt idx="17">
                  <c:v>20.8309204018768</c:v>
                </c:pt>
                <c:pt idx="18">
                  <c:v>20.354170132879428</c:v>
                </c:pt>
                <c:pt idx="19">
                  <c:v>21.266991613172763</c:v>
                </c:pt>
                <c:pt idx="20">
                  <c:v>21.68488697506526</c:v>
                </c:pt>
                <c:pt idx="21">
                  <c:v>20.897899958732882</c:v>
                </c:pt>
                <c:pt idx="22">
                  <c:v>21.15966559894726</c:v>
                </c:pt>
                <c:pt idx="23">
                  <c:v>18.41414576743816</c:v>
                </c:pt>
                <c:pt idx="24">
                  <c:v>20.357372068729774</c:v>
                </c:pt>
              </c:numCache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5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1.10.2022'!$G$1</c:f>
              <c:strCache>
                <c:ptCount val="1"/>
                <c:pt idx="0">
                  <c:v>Место в рейтинге на 01.10.2022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1.10.2022'!$G$2:$G$25</c:f>
              <c:numCache>
                <c:ptCount val="24"/>
                <c:pt idx="0">
                  <c:v>20</c:v>
                </c:pt>
                <c:pt idx="1">
                  <c:v>2</c:v>
                </c:pt>
                <c:pt idx="2">
                  <c:v>17</c:v>
                </c:pt>
                <c:pt idx="3">
                  <c:v>22</c:v>
                </c:pt>
                <c:pt idx="4">
                  <c:v>4</c:v>
                </c:pt>
                <c:pt idx="5">
                  <c:v>14</c:v>
                </c:pt>
                <c:pt idx="6">
                  <c:v>18</c:v>
                </c:pt>
                <c:pt idx="7">
                  <c:v>1</c:v>
                </c:pt>
                <c:pt idx="8">
                  <c:v>19</c:v>
                </c:pt>
                <c:pt idx="9">
                  <c:v>11</c:v>
                </c:pt>
                <c:pt idx="10">
                  <c:v>15</c:v>
                </c:pt>
                <c:pt idx="11">
                  <c:v>21</c:v>
                </c:pt>
                <c:pt idx="12">
                  <c:v>12</c:v>
                </c:pt>
                <c:pt idx="13">
                  <c:v>16</c:v>
                </c:pt>
                <c:pt idx="14">
                  <c:v>10</c:v>
                </c:pt>
                <c:pt idx="15">
                  <c:v>7</c:v>
                </c:pt>
                <c:pt idx="16">
                  <c:v>24</c:v>
                </c:pt>
                <c:pt idx="17">
                  <c:v>9</c:v>
                </c:pt>
                <c:pt idx="18">
                  <c:v>13</c:v>
                </c:pt>
                <c:pt idx="19">
                  <c:v>5</c:v>
                </c:pt>
                <c:pt idx="20">
                  <c:v>3</c:v>
                </c:pt>
                <c:pt idx="21">
                  <c:v>8</c:v>
                </c:pt>
                <c:pt idx="22">
                  <c:v>6</c:v>
                </c:pt>
                <c:pt idx="23">
                  <c:v>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1.10.2022'!$F$1</c:f>
              <c:strCache>
                <c:ptCount val="1"/>
                <c:pt idx="0">
                  <c:v>Место в рейтинге на 01.10.2021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1.10.2022'!$F$2:$F$25</c:f>
              <c:numCache>
                <c:ptCount val="24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16</c:v>
                </c:pt>
                <c:pt idx="6">
                  <c:v>19</c:v>
                </c:pt>
                <c:pt idx="7">
                  <c:v>2</c:v>
                </c:pt>
                <c:pt idx="8">
                  <c:v>22</c:v>
                </c:pt>
                <c:pt idx="9">
                  <c:v>15</c:v>
                </c:pt>
                <c:pt idx="10">
                  <c:v>12</c:v>
                </c:pt>
                <c:pt idx="11">
                  <c:v>21</c:v>
                </c:pt>
                <c:pt idx="12">
                  <c:v>20</c:v>
                </c:pt>
                <c:pt idx="13">
                  <c:v>23</c:v>
                </c:pt>
                <c:pt idx="14">
                  <c:v>18</c:v>
                </c:pt>
                <c:pt idx="15">
                  <c:v>4</c:v>
                </c:pt>
                <c:pt idx="16">
                  <c:v>24</c:v>
                </c:pt>
                <c:pt idx="17">
                  <c:v>7</c:v>
                </c:pt>
                <c:pt idx="18">
                  <c:v>17</c:v>
                </c:pt>
                <c:pt idx="19">
                  <c:v>6</c:v>
                </c:pt>
                <c:pt idx="20">
                  <c:v>8</c:v>
                </c:pt>
                <c:pt idx="21">
                  <c:v>14</c:v>
                </c:pt>
                <c:pt idx="22">
                  <c:v>13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20,4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714" t="s">
        <v>1</v>
      </c>
      <c r="B4" s="715" t="s">
        <v>2</v>
      </c>
      <c r="C4" s="669" t="s">
        <v>3</v>
      </c>
      <c r="D4" s="679"/>
      <c r="E4" s="669" t="s">
        <v>4</v>
      </c>
      <c r="F4" s="683"/>
      <c r="G4" s="696" t="s">
        <v>5</v>
      </c>
      <c r="H4" s="652"/>
      <c r="I4" s="652"/>
      <c r="J4" s="692"/>
      <c r="K4" s="669" t="s">
        <v>6</v>
      </c>
      <c r="L4" s="652"/>
      <c r="M4" s="652"/>
      <c r="N4" s="679"/>
      <c r="O4" s="669" t="s">
        <v>7</v>
      </c>
      <c r="P4" s="652"/>
      <c r="Q4" s="652"/>
      <c r="R4" s="679"/>
      <c r="S4" s="669" t="s">
        <v>8</v>
      </c>
      <c r="T4" s="652"/>
      <c r="U4" s="652"/>
      <c r="V4" s="679"/>
      <c r="W4" s="669" t="s">
        <v>9</v>
      </c>
      <c r="X4" s="652"/>
      <c r="Y4" s="652"/>
      <c r="Z4" s="679"/>
      <c r="AA4" s="669" t="s">
        <v>150</v>
      </c>
      <c r="AB4" s="652"/>
      <c r="AC4" s="652"/>
      <c r="AD4" s="679"/>
      <c r="AE4" s="669" t="s">
        <v>10</v>
      </c>
      <c r="AF4" s="652"/>
      <c r="AG4" s="652"/>
      <c r="AH4" s="652"/>
      <c r="AI4" s="679"/>
      <c r="AJ4" s="669" t="s">
        <v>11</v>
      </c>
      <c r="AK4" s="652"/>
      <c r="AL4" s="652"/>
      <c r="AM4" s="692"/>
      <c r="AN4" s="673" t="s">
        <v>12</v>
      </c>
      <c r="AO4" s="673"/>
      <c r="AP4" s="673"/>
      <c r="AQ4" s="673"/>
      <c r="AR4" s="5"/>
      <c r="AS4" s="5"/>
      <c r="AT4" s="652" t="s">
        <v>13</v>
      </c>
      <c r="AU4" s="652"/>
      <c r="AV4" s="652"/>
      <c r="AW4" s="652"/>
      <c r="AX4" s="652" t="s">
        <v>14</v>
      </c>
      <c r="AY4" s="652"/>
      <c r="AZ4" s="652"/>
      <c r="BA4" s="652"/>
      <c r="BB4" s="652"/>
      <c r="BC4" s="689" t="s">
        <v>15</v>
      </c>
      <c r="BD4" s="689"/>
      <c r="BE4" s="689"/>
      <c r="BF4" s="689"/>
      <c r="BG4" s="6"/>
      <c r="BH4" s="7"/>
      <c r="BI4" s="7"/>
      <c r="BJ4" s="652" t="s">
        <v>16</v>
      </c>
      <c r="BK4" s="652"/>
      <c r="BL4" s="652"/>
      <c r="BM4" s="652"/>
      <c r="BN4" s="652" t="s">
        <v>17</v>
      </c>
      <c r="BO4" s="652"/>
      <c r="BP4" s="652"/>
      <c r="BQ4" s="652"/>
      <c r="BR4" s="652"/>
      <c r="BS4" s="725" t="s">
        <v>18</v>
      </c>
      <c r="BT4" s="725"/>
      <c r="BU4" s="725"/>
      <c r="BV4" s="652" t="s">
        <v>19</v>
      </c>
      <c r="BW4" s="692"/>
      <c r="BX4" s="669" t="s">
        <v>20</v>
      </c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79"/>
      <c r="CN4" s="696" t="s">
        <v>21</v>
      </c>
      <c r="CO4" s="652"/>
      <c r="CP4" s="652"/>
      <c r="CQ4" s="652"/>
      <c r="CR4" s="652"/>
      <c r="CS4" s="652"/>
      <c r="CT4" s="652"/>
      <c r="CU4" s="652"/>
      <c r="CV4" s="652"/>
      <c r="CW4" s="652"/>
      <c r="CX4" s="652"/>
      <c r="CY4" s="652"/>
      <c r="CZ4" s="652"/>
      <c r="DA4" s="692"/>
      <c r="DB4" s="669" t="s">
        <v>22</v>
      </c>
      <c r="DC4" s="652"/>
      <c r="DD4" s="652"/>
      <c r="DE4" s="652"/>
      <c r="DF4" s="652"/>
      <c r="DG4" s="652"/>
      <c r="DH4" s="652"/>
      <c r="DI4" s="652"/>
      <c r="DJ4" s="652"/>
      <c r="DK4" s="652"/>
      <c r="DL4" s="652"/>
      <c r="DM4" s="679"/>
      <c r="DN4" s="669" t="s">
        <v>23</v>
      </c>
      <c r="DO4" s="679"/>
      <c r="DP4" s="669" t="s">
        <v>24</v>
      </c>
      <c r="DQ4" s="679"/>
      <c r="DR4" s="696" t="s">
        <v>25</v>
      </c>
      <c r="DS4" s="692"/>
      <c r="DT4" s="652" t="s">
        <v>26</v>
      </c>
      <c r="DU4" s="652"/>
      <c r="DV4" s="679"/>
      <c r="DW4" s="669" t="s">
        <v>27</v>
      </c>
      <c r="DX4" s="652"/>
      <c r="DY4" s="679"/>
      <c r="DZ4" s="696" t="s">
        <v>28</v>
      </c>
      <c r="EA4" s="652"/>
      <c r="EB4" s="652"/>
      <c r="EC4" s="652" t="s">
        <v>29</v>
      </c>
      <c r="ED4" s="652"/>
      <c r="EE4" s="652"/>
      <c r="EF4" s="652" t="s">
        <v>30</v>
      </c>
      <c r="EG4" s="652"/>
      <c r="EH4" s="692"/>
      <c r="EI4" s="669" t="s">
        <v>31</v>
      </c>
      <c r="EJ4" s="652"/>
      <c r="EK4" s="679"/>
      <c r="EL4" s="656" t="s">
        <v>160</v>
      </c>
      <c r="EM4" s="657"/>
      <c r="EN4" s="669" t="s">
        <v>32</v>
      </c>
      <c r="EO4" s="652"/>
      <c r="EP4" s="652"/>
      <c r="EQ4" s="679"/>
    </row>
    <row r="5" spans="1:147" s="11" customFormat="1" ht="15.75">
      <c r="A5" s="684"/>
      <c r="B5" s="716"/>
      <c r="C5" s="680"/>
      <c r="D5" s="681"/>
      <c r="E5" s="684"/>
      <c r="F5" s="685"/>
      <c r="G5" s="697"/>
      <c r="H5" s="653"/>
      <c r="I5" s="653"/>
      <c r="J5" s="693"/>
      <c r="K5" s="680"/>
      <c r="L5" s="653"/>
      <c r="M5" s="653"/>
      <c r="N5" s="681"/>
      <c r="O5" s="680"/>
      <c r="P5" s="653"/>
      <c r="Q5" s="653"/>
      <c r="R5" s="681"/>
      <c r="S5" s="680"/>
      <c r="T5" s="653"/>
      <c r="U5" s="653"/>
      <c r="V5" s="681"/>
      <c r="W5" s="680"/>
      <c r="X5" s="653"/>
      <c r="Y5" s="653"/>
      <c r="Z5" s="681"/>
      <c r="AA5" s="680"/>
      <c r="AB5" s="653"/>
      <c r="AC5" s="653"/>
      <c r="AD5" s="681"/>
      <c r="AE5" s="680"/>
      <c r="AF5" s="653"/>
      <c r="AG5" s="653"/>
      <c r="AH5" s="653"/>
      <c r="AI5" s="681"/>
      <c r="AJ5" s="680"/>
      <c r="AK5" s="653"/>
      <c r="AL5" s="653"/>
      <c r="AM5" s="693"/>
      <c r="AN5" s="695"/>
      <c r="AO5" s="695"/>
      <c r="AP5" s="695"/>
      <c r="AQ5" s="695"/>
      <c r="AR5" s="8"/>
      <c r="AS5" s="8"/>
      <c r="AT5" s="653"/>
      <c r="AU5" s="653"/>
      <c r="AV5" s="653"/>
      <c r="AW5" s="653"/>
      <c r="AX5" s="653"/>
      <c r="AY5" s="653"/>
      <c r="AZ5" s="653"/>
      <c r="BA5" s="653"/>
      <c r="BB5" s="653"/>
      <c r="BC5" s="690"/>
      <c r="BD5" s="690"/>
      <c r="BE5" s="690"/>
      <c r="BF5" s="690"/>
      <c r="BG5" s="9"/>
      <c r="BH5" s="10"/>
      <c r="BI5" s="10"/>
      <c r="BJ5" s="653"/>
      <c r="BK5" s="653"/>
      <c r="BL5" s="653"/>
      <c r="BM5" s="653"/>
      <c r="BN5" s="653"/>
      <c r="BO5" s="653"/>
      <c r="BP5" s="653"/>
      <c r="BQ5" s="653"/>
      <c r="BR5" s="653"/>
      <c r="BS5" s="726"/>
      <c r="BT5" s="726"/>
      <c r="BU5" s="726"/>
      <c r="BV5" s="653"/>
      <c r="BW5" s="693"/>
      <c r="BX5" s="680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81"/>
      <c r="CN5" s="697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93"/>
      <c r="DB5" s="680"/>
      <c r="DC5" s="653"/>
      <c r="DD5" s="653"/>
      <c r="DE5" s="653"/>
      <c r="DF5" s="653"/>
      <c r="DG5" s="653"/>
      <c r="DH5" s="653"/>
      <c r="DI5" s="653"/>
      <c r="DJ5" s="653"/>
      <c r="DK5" s="653"/>
      <c r="DL5" s="653"/>
      <c r="DM5" s="681"/>
      <c r="DN5" s="680"/>
      <c r="DO5" s="681"/>
      <c r="DP5" s="680"/>
      <c r="DQ5" s="681"/>
      <c r="DR5" s="697"/>
      <c r="DS5" s="693"/>
      <c r="DT5" s="653"/>
      <c r="DU5" s="653"/>
      <c r="DV5" s="681"/>
      <c r="DW5" s="680"/>
      <c r="DX5" s="653"/>
      <c r="DY5" s="681"/>
      <c r="DZ5" s="697"/>
      <c r="EA5" s="653"/>
      <c r="EB5" s="653"/>
      <c r="EC5" s="653"/>
      <c r="ED5" s="653"/>
      <c r="EE5" s="653"/>
      <c r="EF5" s="653"/>
      <c r="EG5" s="653"/>
      <c r="EH5" s="693"/>
      <c r="EI5" s="680"/>
      <c r="EJ5" s="653"/>
      <c r="EK5" s="681"/>
      <c r="EL5" s="658"/>
      <c r="EM5" s="659"/>
      <c r="EN5" s="680"/>
      <c r="EO5" s="653"/>
      <c r="EP5" s="653"/>
      <c r="EQ5" s="681"/>
    </row>
    <row r="6" spans="1:147" s="16" customFormat="1" ht="153" customHeight="1" thickBot="1">
      <c r="A6" s="684"/>
      <c r="B6" s="716"/>
      <c r="C6" s="670"/>
      <c r="D6" s="682"/>
      <c r="E6" s="686"/>
      <c r="F6" s="687"/>
      <c r="G6" s="698"/>
      <c r="H6" s="654"/>
      <c r="I6" s="654"/>
      <c r="J6" s="694"/>
      <c r="K6" s="670"/>
      <c r="L6" s="654"/>
      <c r="M6" s="654"/>
      <c r="N6" s="682"/>
      <c r="O6" s="670"/>
      <c r="P6" s="654"/>
      <c r="Q6" s="654"/>
      <c r="R6" s="682"/>
      <c r="S6" s="670"/>
      <c r="T6" s="654"/>
      <c r="U6" s="654"/>
      <c r="V6" s="682"/>
      <c r="W6" s="670"/>
      <c r="X6" s="654"/>
      <c r="Y6" s="654"/>
      <c r="Z6" s="682"/>
      <c r="AA6" s="670"/>
      <c r="AB6" s="654"/>
      <c r="AC6" s="654"/>
      <c r="AD6" s="682"/>
      <c r="AE6" s="670"/>
      <c r="AF6" s="654"/>
      <c r="AG6" s="654"/>
      <c r="AH6" s="654"/>
      <c r="AI6" s="682"/>
      <c r="AJ6" s="670"/>
      <c r="AK6" s="654"/>
      <c r="AL6" s="654"/>
      <c r="AM6" s="694"/>
      <c r="AN6" s="674"/>
      <c r="AO6" s="674"/>
      <c r="AP6" s="674"/>
      <c r="AQ6" s="674"/>
      <c r="AR6" s="13"/>
      <c r="AS6" s="13"/>
      <c r="AT6" s="654"/>
      <c r="AU6" s="654"/>
      <c r="AV6" s="654"/>
      <c r="AW6" s="654"/>
      <c r="AX6" s="654"/>
      <c r="AY6" s="654"/>
      <c r="AZ6" s="654"/>
      <c r="BA6" s="654"/>
      <c r="BB6" s="654"/>
      <c r="BC6" s="691"/>
      <c r="BD6" s="691"/>
      <c r="BE6" s="691"/>
      <c r="BF6" s="691"/>
      <c r="BG6" s="14"/>
      <c r="BH6" s="15"/>
      <c r="BI6" s="15"/>
      <c r="BJ6" s="654"/>
      <c r="BK6" s="654"/>
      <c r="BL6" s="654"/>
      <c r="BM6" s="654"/>
      <c r="BN6" s="654"/>
      <c r="BO6" s="654"/>
      <c r="BP6" s="654"/>
      <c r="BQ6" s="654"/>
      <c r="BR6" s="654"/>
      <c r="BS6" s="727"/>
      <c r="BT6" s="727"/>
      <c r="BU6" s="727"/>
      <c r="BV6" s="654"/>
      <c r="BW6" s="694"/>
      <c r="BX6" s="670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82"/>
      <c r="CN6" s="698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94"/>
      <c r="DB6" s="670"/>
      <c r="DC6" s="654"/>
      <c r="DD6" s="654"/>
      <c r="DE6" s="654"/>
      <c r="DF6" s="654"/>
      <c r="DG6" s="654"/>
      <c r="DH6" s="654"/>
      <c r="DI6" s="654"/>
      <c r="DJ6" s="654"/>
      <c r="DK6" s="654"/>
      <c r="DL6" s="654"/>
      <c r="DM6" s="682"/>
      <c r="DN6" s="670"/>
      <c r="DO6" s="682"/>
      <c r="DP6" s="670"/>
      <c r="DQ6" s="682"/>
      <c r="DR6" s="698"/>
      <c r="DS6" s="694"/>
      <c r="DT6" s="654"/>
      <c r="DU6" s="654"/>
      <c r="DV6" s="682"/>
      <c r="DW6" s="670"/>
      <c r="DX6" s="654"/>
      <c r="DY6" s="682"/>
      <c r="DZ6" s="698"/>
      <c r="EA6" s="654"/>
      <c r="EB6" s="654"/>
      <c r="EC6" s="654"/>
      <c r="ED6" s="654"/>
      <c r="EE6" s="654"/>
      <c r="EF6" s="654"/>
      <c r="EG6" s="654"/>
      <c r="EH6" s="694"/>
      <c r="EI6" s="670"/>
      <c r="EJ6" s="654"/>
      <c r="EK6" s="682"/>
      <c r="EL6" s="660"/>
      <c r="EM6" s="661"/>
      <c r="EN6" s="680"/>
      <c r="EO6" s="653"/>
      <c r="EP6" s="653"/>
      <c r="EQ6" s="681"/>
    </row>
    <row r="7" spans="1:147" s="16" customFormat="1" ht="16.5" thickBot="1">
      <c r="A7" s="684"/>
      <c r="B7" s="716"/>
      <c r="C7" s="677" t="s">
        <v>33</v>
      </c>
      <c r="D7" s="688"/>
      <c r="E7" s="677" t="s">
        <v>34</v>
      </c>
      <c r="F7" s="688"/>
      <c r="G7" s="699" t="s">
        <v>35</v>
      </c>
      <c r="H7" s="655"/>
      <c r="I7" s="655"/>
      <c r="J7" s="678"/>
      <c r="K7" s="677" t="s">
        <v>36</v>
      </c>
      <c r="L7" s="655"/>
      <c r="M7" s="655"/>
      <c r="N7" s="688"/>
      <c r="O7" s="677" t="s">
        <v>37</v>
      </c>
      <c r="P7" s="655"/>
      <c r="Q7" s="655"/>
      <c r="R7" s="688"/>
      <c r="S7" s="677" t="s">
        <v>38</v>
      </c>
      <c r="T7" s="655"/>
      <c r="U7" s="655"/>
      <c r="V7" s="688"/>
      <c r="W7" s="677" t="s">
        <v>39</v>
      </c>
      <c r="X7" s="655"/>
      <c r="Y7" s="655"/>
      <c r="Z7" s="688"/>
      <c r="AA7" s="677" t="s">
        <v>40</v>
      </c>
      <c r="AB7" s="655"/>
      <c r="AC7" s="655"/>
      <c r="AD7" s="688"/>
      <c r="AE7" s="677" t="s">
        <v>41</v>
      </c>
      <c r="AF7" s="655"/>
      <c r="AG7" s="655"/>
      <c r="AH7" s="655"/>
      <c r="AI7" s="688"/>
      <c r="AJ7" s="677" t="s">
        <v>42</v>
      </c>
      <c r="AK7" s="655"/>
      <c r="AL7" s="655"/>
      <c r="AM7" s="678"/>
      <c r="AN7" s="705" t="s">
        <v>43</v>
      </c>
      <c r="AO7" s="705"/>
      <c r="AP7" s="705"/>
      <c r="AQ7" s="705"/>
      <c r="AR7" s="17"/>
      <c r="AS7" s="17"/>
      <c r="AT7" s="655" t="s">
        <v>44</v>
      </c>
      <c r="AU7" s="655"/>
      <c r="AV7" s="655"/>
      <c r="AW7" s="655"/>
      <c r="AX7" s="655" t="s">
        <v>45</v>
      </c>
      <c r="AY7" s="655"/>
      <c r="AZ7" s="655"/>
      <c r="BA7" s="655"/>
      <c r="BB7" s="655"/>
      <c r="BC7" s="655" t="s">
        <v>46</v>
      </c>
      <c r="BD7" s="655"/>
      <c r="BE7" s="655"/>
      <c r="BF7" s="655"/>
      <c r="BG7" s="18"/>
      <c r="BH7" s="19"/>
      <c r="BI7" s="19"/>
      <c r="BJ7" s="655" t="s">
        <v>47</v>
      </c>
      <c r="BK7" s="655"/>
      <c r="BL7" s="655"/>
      <c r="BM7" s="655"/>
      <c r="BN7" s="724" t="s">
        <v>48</v>
      </c>
      <c r="BO7" s="724"/>
      <c r="BP7" s="724"/>
      <c r="BQ7" s="724"/>
      <c r="BR7" s="724"/>
      <c r="BS7" s="655" t="s">
        <v>49</v>
      </c>
      <c r="BT7" s="655"/>
      <c r="BU7" s="655"/>
      <c r="BV7" s="655" t="s">
        <v>50</v>
      </c>
      <c r="BW7" s="678"/>
      <c r="BX7" s="677" t="s">
        <v>51</v>
      </c>
      <c r="BY7" s="655"/>
      <c r="BZ7" s="655"/>
      <c r="CA7" s="655"/>
      <c r="CB7" s="655"/>
      <c r="CC7" s="655"/>
      <c r="CD7" s="655"/>
      <c r="CE7" s="655"/>
      <c r="CF7" s="655"/>
      <c r="CG7" s="655"/>
      <c r="CH7" s="655"/>
      <c r="CI7" s="655"/>
      <c r="CJ7" s="655"/>
      <c r="CK7" s="655"/>
      <c r="CL7" s="655"/>
      <c r="CM7" s="688"/>
      <c r="CN7" s="699" t="s">
        <v>52</v>
      </c>
      <c r="CO7" s="655"/>
      <c r="CP7" s="655"/>
      <c r="CQ7" s="655"/>
      <c r="CR7" s="655"/>
      <c r="CS7" s="655"/>
      <c r="CT7" s="655"/>
      <c r="CU7" s="655"/>
      <c r="CV7" s="655"/>
      <c r="CW7" s="655"/>
      <c r="CX7" s="655"/>
      <c r="CY7" s="655"/>
      <c r="CZ7" s="655"/>
      <c r="DA7" s="678"/>
      <c r="DB7" s="677" t="s">
        <v>53</v>
      </c>
      <c r="DC7" s="655"/>
      <c r="DD7" s="655"/>
      <c r="DE7" s="655"/>
      <c r="DF7" s="655"/>
      <c r="DG7" s="655"/>
      <c r="DH7" s="655"/>
      <c r="DI7" s="655"/>
      <c r="DJ7" s="655"/>
      <c r="DK7" s="655"/>
      <c r="DL7" s="655"/>
      <c r="DM7" s="688"/>
      <c r="DN7" s="677" t="s">
        <v>54</v>
      </c>
      <c r="DO7" s="688"/>
      <c r="DP7" s="677" t="s">
        <v>55</v>
      </c>
      <c r="DQ7" s="688"/>
      <c r="DR7" s="699" t="s">
        <v>56</v>
      </c>
      <c r="DS7" s="678"/>
      <c r="DT7" s="655" t="s">
        <v>57</v>
      </c>
      <c r="DU7" s="655"/>
      <c r="DV7" s="688"/>
      <c r="DW7" s="677" t="s">
        <v>58</v>
      </c>
      <c r="DX7" s="655"/>
      <c r="DY7" s="688"/>
      <c r="DZ7" s="699" t="s">
        <v>59</v>
      </c>
      <c r="EA7" s="655"/>
      <c r="EB7" s="655"/>
      <c r="EC7" s="655" t="s">
        <v>60</v>
      </c>
      <c r="ED7" s="655"/>
      <c r="EE7" s="655"/>
      <c r="EF7" s="655" t="s">
        <v>61</v>
      </c>
      <c r="EG7" s="655"/>
      <c r="EH7" s="678"/>
      <c r="EI7" s="677" t="s">
        <v>63</v>
      </c>
      <c r="EJ7" s="655"/>
      <c r="EK7" s="688"/>
      <c r="EL7" s="662" t="s">
        <v>62</v>
      </c>
      <c r="EM7" s="663"/>
      <c r="EN7" s="708"/>
      <c r="EO7" s="668"/>
      <c r="EP7" s="668"/>
      <c r="EQ7" s="709"/>
    </row>
    <row r="8" spans="1:147" s="16" customFormat="1" ht="111.75" customHeight="1" thickBot="1">
      <c r="A8" s="684"/>
      <c r="B8" s="716"/>
      <c r="C8" s="669" t="s">
        <v>64</v>
      </c>
      <c r="D8" s="671" t="s">
        <v>65</v>
      </c>
      <c r="E8" s="669" t="s">
        <v>64</v>
      </c>
      <c r="F8" s="671" t="s">
        <v>65</v>
      </c>
      <c r="G8" s="696" t="s">
        <v>66</v>
      </c>
      <c r="H8" s="652" t="s">
        <v>67</v>
      </c>
      <c r="I8" s="652" t="s">
        <v>64</v>
      </c>
      <c r="J8" s="675" t="s">
        <v>65</v>
      </c>
      <c r="K8" s="669" t="s">
        <v>67</v>
      </c>
      <c r="L8" s="652" t="s">
        <v>68</v>
      </c>
      <c r="M8" s="652" t="s">
        <v>64</v>
      </c>
      <c r="N8" s="671" t="s">
        <v>65</v>
      </c>
      <c r="O8" s="669" t="s">
        <v>67</v>
      </c>
      <c r="P8" s="652" t="s">
        <v>69</v>
      </c>
      <c r="Q8" s="652" t="s">
        <v>64</v>
      </c>
      <c r="R8" s="671" t="s">
        <v>65</v>
      </c>
      <c r="S8" s="669" t="s">
        <v>70</v>
      </c>
      <c r="T8" s="652" t="s">
        <v>71</v>
      </c>
      <c r="U8" s="652" t="s">
        <v>64</v>
      </c>
      <c r="V8" s="671" t="s">
        <v>65</v>
      </c>
      <c r="W8" s="669" t="s">
        <v>72</v>
      </c>
      <c r="X8" s="652" t="s">
        <v>73</v>
      </c>
      <c r="Y8" s="652" t="s">
        <v>64</v>
      </c>
      <c r="Z8" s="671" t="s">
        <v>65</v>
      </c>
      <c r="AA8" s="669" t="s">
        <v>74</v>
      </c>
      <c r="AB8" s="652" t="s">
        <v>75</v>
      </c>
      <c r="AC8" s="652" t="s">
        <v>64</v>
      </c>
      <c r="AD8" s="671" t="s">
        <v>65</v>
      </c>
      <c r="AE8" s="669" t="s">
        <v>76</v>
      </c>
      <c r="AF8" s="652" t="s">
        <v>77</v>
      </c>
      <c r="AG8" s="652" t="s">
        <v>78</v>
      </c>
      <c r="AH8" s="652" t="s">
        <v>64</v>
      </c>
      <c r="AI8" s="671" t="s">
        <v>65</v>
      </c>
      <c r="AJ8" s="669" t="s">
        <v>154</v>
      </c>
      <c r="AK8" s="652" t="s">
        <v>155</v>
      </c>
      <c r="AL8" s="652" t="s">
        <v>64</v>
      </c>
      <c r="AM8" s="675" t="s">
        <v>65</v>
      </c>
      <c r="AN8" s="673" t="s">
        <v>79</v>
      </c>
      <c r="AO8" s="673" t="s">
        <v>80</v>
      </c>
      <c r="AP8" s="673" t="s">
        <v>64</v>
      </c>
      <c r="AQ8" s="700" t="s">
        <v>81</v>
      </c>
      <c r="AR8" s="20"/>
      <c r="AS8" s="702" t="s">
        <v>82</v>
      </c>
      <c r="AT8" s="652" t="s">
        <v>82</v>
      </c>
      <c r="AU8" s="652" t="s">
        <v>83</v>
      </c>
      <c r="AV8" s="652" t="s">
        <v>64</v>
      </c>
      <c r="AW8" s="700" t="s">
        <v>65</v>
      </c>
      <c r="AX8" s="652" t="s">
        <v>84</v>
      </c>
      <c r="AY8" s="652" t="s">
        <v>85</v>
      </c>
      <c r="AZ8" s="652"/>
      <c r="BA8" s="673" t="s">
        <v>86</v>
      </c>
      <c r="BB8" s="673" t="s">
        <v>87</v>
      </c>
      <c r="BC8" s="652" t="s">
        <v>88</v>
      </c>
      <c r="BD8" s="652" t="s">
        <v>89</v>
      </c>
      <c r="BE8" s="652" t="s">
        <v>64</v>
      </c>
      <c r="BF8" s="700" t="s">
        <v>65</v>
      </c>
      <c r="BG8" s="21"/>
      <c r="BH8" s="21"/>
      <c r="BI8" s="21"/>
      <c r="BJ8" s="673" t="s">
        <v>90</v>
      </c>
      <c r="BK8" s="652" t="s">
        <v>91</v>
      </c>
      <c r="BL8" s="652" t="s">
        <v>64</v>
      </c>
      <c r="BM8" s="700" t="s">
        <v>65</v>
      </c>
      <c r="BN8" s="673" t="s">
        <v>92</v>
      </c>
      <c r="BO8" s="652" t="s">
        <v>93</v>
      </c>
      <c r="BP8" s="652" t="s">
        <v>94</v>
      </c>
      <c r="BQ8" s="652" t="s">
        <v>64</v>
      </c>
      <c r="BR8" s="700" t="s">
        <v>65</v>
      </c>
      <c r="BS8" s="673" t="s">
        <v>95</v>
      </c>
      <c r="BT8" s="733" t="s">
        <v>64</v>
      </c>
      <c r="BU8" s="700" t="s">
        <v>65</v>
      </c>
      <c r="BV8" s="652" t="s">
        <v>64</v>
      </c>
      <c r="BW8" s="722" t="s">
        <v>65</v>
      </c>
      <c r="BX8" s="706" t="s">
        <v>96</v>
      </c>
      <c r="BY8" s="673"/>
      <c r="BZ8" s="673" t="s">
        <v>156</v>
      </c>
      <c r="CA8" s="673"/>
      <c r="CB8" s="719" t="s">
        <v>97</v>
      </c>
      <c r="CC8" s="720"/>
      <c r="CD8" s="673" t="s">
        <v>151</v>
      </c>
      <c r="CE8" s="673"/>
      <c r="CF8" s="673" t="s">
        <v>161</v>
      </c>
      <c r="CG8" s="673"/>
      <c r="CH8" s="718"/>
      <c r="CI8" s="718"/>
      <c r="CJ8" s="673" t="s">
        <v>98</v>
      </c>
      <c r="CK8" s="673"/>
      <c r="CL8" s="673" t="s">
        <v>105</v>
      </c>
      <c r="CM8" s="707"/>
      <c r="CN8" s="696" t="s">
        <v>99</v>
      </c>
      <c r="CO8" s="652"/>
      <c r="CP8" s="704" t="s">
        <v>152</v>
      </c>
      <c r="CQ8" s="704"/>
      <c r="CR8" s="673" t="s">
        <v>157</v>
      </c>
      <c r="CS8" s="673"/>
      <c r="CT8" s="673" t="s">
        <v>153</v>
      </c>
      <c r="CU8" s="673"/>
      <c r="CV8" s="705" t="s">
        <v>100</v>
      </c>
      <c r="CW8" s="705"/>
      <c r="CX8" s="705" t="s">
        <v>101</v>
      </c>
      <c r="CY8" s="705"/>
      <c r="CZ8" s="705" t="s">
        <v>105</v>
      </c>
      <c r="DA8" s="721"/>
      <c r="DB8" s="706" t="s">
        <v>158</v>
      </c>
      <c r="DC8" s="673"/>
      <c r="DD8" s="673" t="s">
        <v>102</v>
      </c>
      <c r="DE8" s="673"/>
      <c r="DF8" s="673" t="s">
        <v>103</v>
      </c>
      <c r="DG8" s="673"/>
      <c r="DH8" s="673" t="s">
        <v>159</v>
      </c>
      <c r="DI8" s="673"/>
      <c r="DJ8" s="673" t="s">
        <v>104</v>
      </c>
      <c r="DK8" s="673"/>
      <c r="DL8" s="673" t="s">
        <v>105</v>
      </c>
      <c r="DM8" s="712"/>
      <c r="DN8" s="710" t="s">
        <v>64</v>
      </c>
      <c r="DO8" s="710" t="s">
        <v>65</v>
      </c>
      <c r="DP8" s="669" t="s">
        <v>64</v>
      </c>
      <c r="DQ8" s="679" t="s">
        <v>65</v>
      </c>
      <c r="DR8" s="696" t="s">
        <v>64</v>
      </c>
      <c r="DS8" s="692" t="s">
        <v>65</v>
      </c>
      <c r="DT8" s="652" t="s">
        <v>106</v>
      </c>
      <c r="DU8" s="652" t="s">
        <v>64</v>
      </c>
      <c r="DV8" s="679" t="s">
        <v>65</v>
      </c>
      <c r="DW8" s="669" t="s">
        <v>106</v>
      </c>
      <c r="DX8" s="652" t="s">
        <v>64</v>
      </c>
      <c r="DY8" s="679" t="s">
        <v>65</v>
      </c>
      <c r="DZ8" s="696" t="s">
        <v>106</v>
      </c>
      <c r="EA8" s="652" t="s">
        <v>64</v>
      </c>
      <c r="EB8" s="652" t="s">
        <v>65</v>
      </c>
      <c r="EC8" s="652" t="s">
        <v>106</v>
      </c>
      <c r="ED8" s="652" t="s">
        <v>64</v>
      </c>
      <c r="EE8" s="652" t="s">
        <v>65</v>
      </c>
      <c r="EF8" s="652" t="s">
        <v>106</v>
      </c>
      <c r="EG8" s="692" t="s">
        <v>64</v>
      </c>
      <c r="EH8" s="710" t="s">
        <v>65</v>
      </c>
      <c r="EI8" s="728" t="s">
        <v>106</v>
      </c>
      <c r="EJ8" s="718" t="s">
        <v>64</v>
      </c>
      <c r="EK8" s="731" t="s">
        <v>65</v>
      </c>
      <c r="EL8" s="664" t="s">
        <v>64</v>
      </c>
      <c r="EM8" s="666" t="s">
        <v>65</v>
      </c>
      <c r="EN8" s="669" t="s">
        <v>107</v>
      </c>
      <c r="EO8" s="652" t="s">
        <v>108</v>
      </c>
      <c r="EP8" s="652" t="s">
        <v>109</v>
      </c>
      <c r="EQ8" s="679" t="s">
        <v>110</v>
      </c>
    </row>
    <row r="9" spans="1:147" s="11" customFormat="1" ht="96.75" customHeight="1" thickBot="1">
      <c r="A9" s="686"/>
      <c r="B9" s="717"/>
      <c r="C9" s="670"/>
      <c r="D9" s="672"/>
      <c r="E9" s="670"/>
      <c r="F9" s="672"/>
      <c r="G9" s="698"/>
      <c r="H9" s="654"/>
      <c r="I9" s="654"/>
      <c r="J9" s="676"/>
      <c r="K9" s="670"/>
      <c r="L9" s="654"/>
      <c r="M9" s="654"/>
      <c r="N9" s="672"/>
      <c r="O9" s="670"/>
      <c r="P9" s="654"/>
      <c r="Q9" s="654"/>
      <c r="R9" s="672"/>
      <c r="S9" s="670"/>
      <c r="T9" s="654"/>
      <c r="U9" s="654"/>
      <c r="V9" s="672"/>
      <c r="W9" s="670"/>
      <c r="X9" s="654"/>
      <c r="Y9" s="654"/>
      <c r="Z9" s="672"/>
      <c r="AA9" s="670"/>
      <c r="AB9" s="654"/>
      <c r="AC9" s="654"/>
      <c r="AD9" s="713"/>
      <c r="AE9" s="670"/>
      <c r="AF9" s="654"/>
      <c r="AG9" s="654"/>
      <c r="AH9" s="654"/>
      <c r="AI9" s="672"/>
      <c r="AJ9" s="670"/>
      <c r="AK9" s="654"/>
      <c r="AL9" s="654"/>
      <c r="AM9" s="676"/>
      <c r="AN9" s="674"/>
      <c r="AO9" s="674"/>
      <c r="AP9" s="674"/>
      <c r="AQ9" s="701"/>
      <c r="AR9" s="22"/>
      <c r="AS9" s="703"/>
      <c r="AT9" s="654"/>
      <c r="AU9" s="654"/>
      <c r="AV9" s="654"/>
      <c r="AW9" s="701"/>
      <c r="AX9" s="654"/>
      <c r="AY9" s="14" t="s">
        <v>111</v>
      </c>
      <c r="AZ9" s="14" t="s">
        <v>112</v>
      </c>
      <c r="BA9" s="674"/>
      <c r="BB9" s="674"/>
      <c r="BC9" s="654"/>
      <c r="BD9" s="654"/>
      <c r="BE9" s="654"/>
      <c r="BF9" s="701"/>
      <c r="BG9" s="23"/>
      <c r="BH9" s="23"/>
      <c r="BI9" s="23"/>
      <c r="BJ9" s="674"/>
      <c r="BK9" s="654"/>
      <c r="BL9" s="654"/>
      <c r="BM9" s="701"/>
      <c r="BN9" s="674"/>
      <c r="BO9" s="654"/>
      <c r="BP9" s="654"/>
      <c r="BQ9" s="668"/>
      <c r="BR9" s="701"/>
      <c r="BS9" s="674"/>
      <c r="BT9" s="734"/>
      <c r="BU9" s="701"/>
      <c r="BV9" s="668"/>
      <c r="BW9" s="72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711"/>
      <c r="DO9" s="711"/>
      <c r="DP9" s="708"/>
      <c r="DQ9" s="682"/>
      <c r="DR9" s="698"/>
      <c r="DS9" s="694"/>
      <c r="DT9" s="654"/>
      <c r="DU9" s="654"/>
      <c r="DV9" s="682"/>
      <c r="DW9" s="670"/>
      <c r="DX9" s="654"/>
      <c r="DY9" s="682"/>
      <c r="DZ9" s="698"/>
      <c r="EA9" s="654"/>
      <c r="EB9" s="654"/>
      <c r="EC9" s="654"/>
      <c r="ED9" s="654"/>
      <c r="EE9" s="654"/>
      <c r="EF9" s="654"/>
      <c r="EG9" s="694"/>
      <c r="EH9" s="711"/>
      <c r="EI9" s="729"/>
      <c r="EJ9" s="730"/>
      <c r="EK9" s="732"/>
      <c r="EL9" s="665"/>
      <c r="EM9" s="667"/>
      <c r="EN9" s="670"/>
      <c r="EO9" s="654"/>
      <c r="EP9" s="654"/>
      <c r="EQ9" s="682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8" sqref="E8:E31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515"/>
    </row>
    <row r="2" spans="1:10" ht="12.75" customHeight="1">
      <c r="A2" s="808" t="s">
        <v>1</v>
      </c>
      <c r="B2" s="808" t="s">
        <v>168</v>
      </c>
      <c r="C2" s="808" t="s">
        <v>197</v>
      </c>
      <c r="D2" s="808"/>
      <c r="E2" s="808"/>
      <c r="F2" s="341"/>
      <c r="H2" s="735" t="s">
        <v>169</v>
      </c>
      <c r="I2" s="736"/>
      <c r="J2" s="737"/>
    </row>
    <row r="3" spans="1:10" ht="7.5" customHeight="1">
      <c r="A3" s="808"/>
      <c r="B3" s="808"/>
      <c r="C3" s="808"/>
      <c r="D3" s="808"/>
      <c r="E3" s="808"/>
      <c r="F3" s="341"/>
      <c r="H3" s="738"/>
      <c r="I3" s="739"/>
      <c r="J3" s="740"/>
    </row>
    <row r="4" spans="1:10" ht="12.75" hidden="1">
      <c r="A4" s="808"/>
      <c r="B4" s="808"/>
      <c r="C4" s="808"/>
      <c r="D4" s="808"/>
      <c r="E4" s="808"/>
      <c r="F4" s="341"/>
      <c r="H4" s="738"/>
      <c r="I4" s="739"/>
      <c r="J4" s="740"/>
    </row>
    <row r="5" spans="1:10" ht="9.75" customHeight="1">
      <c r="A5" s="808"/>
      <c r="B5" s="808"/>
      <c r="C5" s="808"/>
      <c r="D5" s="808"/>
      <c r="E5" s="808"/>
      <c r="F5" s="341"/>
      <c r="H5" s="741"/>
      <c r="I5" s="742"/>
      <c r="J5" s="743"/>
    </row>
    <row r="6" spans="1:10" ht="12.75" customHeight="1">
      <c r="A6" s="808"/>
      <c r="B6" s="808"/>
      <c r="C6" s="808" t="s">
        <v>107</v>
      </c>
      <c r="D6" s="808" t="s">
        <v>108</v>
      </c>
      <c r="E6" s="808" t="s">
        <v>110</v>
      </c>
      <c r="F6" s="341"/>
      <c r="H6" s="744" t="s">
        <v>107</v>
      </c>
      <c r="I6" s="746" t="s">
        <v>108</v>
      </c>
      <c r="J6" s="748" t="s">
        <v>110</v>
      </c>
    </row>
    <row r="7" spans="1:12" ht="57.75" customHeight="1" thickBot="1">
      <c r="A7" s="808"/>
      <c r="B7" s="808"/>
      <c r="C7" s="808"/>
      <c r="D7" s="808"/>
      <c r="E7" s="808"/>
      <c r="F7" s="341"/>
      <c r="H7" s="745"/>
      <c r="I7" s="747"/>
      <c r="J7" s="749"/>
      <c r="L7" s="343" t="s">
        <v>166</v>
      </c>
    </row>
    <row r="8" spans="1:19" ht="15">
      <c r="A8" s="329">
        <f aca="true" t="shared" si="0" ref="A8:A31">A7+1</f>
        <v>1</v>
      </c>
      <c r="B8" s="517" t="s">
        <v>115</v>
      </c>
      <c r="C8" s="516">
        <f>' 9 месяцев 2022'!ER10</f>
        <v>19.280609678428345</v>
      </c>
      <c r="D8" s="518">
        <f>' 9 месяцев 2022'!ES10</f>
        <v>20</v>
      </c>
      <c r="E8" s="650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513">
        <v>20.3009034855816</v>
      </c>
      <c r="P8" s="340">
        <v>17</v>
      </c>
      <c r="Q8" s="340" t="s">
        <v>116</v>
      </c>
      <c r="R8" s="513">
        <f>C8-O8</f>
        <v>-1.020293807153255</v>
      </c>
      <c r="S8" s="514">
        <f>D8-P8</f>
        <v>3</v>
      </c>
    </row>
    <row r="9" spans="1:19" ht="15">
      <c r="A9" s="329">
        <f t="shared" si="0"/>
        <v>2</v>
      </c>
      <c r="B9" s="519" t="s">
        <v>118</v>
      </c>
      <c r="C9" s="516">
        <f>' 9 месяцев 2022'!ER11</f>
        <v>21.922174642390267</v>
      </c>
      <c r="D9" s="518">
        <f>' 9 месяцев 2022'!ES11</f>
        <v>2</v>
      </c>
      <c r="E9" s="650" t="s">
        <v>117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513">
        <v>20.94788285343631</v>
      </c>
      <c r="P9" s="340">
        <v>21</v>
      </c>
      <c r="Q9" s="340" t="s">
        <v>116</v>
      </c>
      <c r="R9" s="513">
        <f aca="true" t="shared" si="2" ref="R9:S31">C9-O9</f>
        <v>0.9742917889539555</v>
      </c>
      <c r="S9" s="514">
        <f t="shared" si="2"/>
        <v>-19</v>
      </c>
    </row>
    <row r="10" spans="1:19" ht="15">
      <c r="A10" s="329">
        <f t="shared" si="0"/>
        <v>3</v>
      </c>
      <c r="B10" s="519" t="s">
        <v>120</v>
      </c>
      <c r="C10" s="516">
        <f>' 9 месяцев 2022'!ER12</f>
        <v>19.705065377719432</v>
      </c>
      <c r="D10" s="518">
        <f>' 9 месяцев 2022'!ES12</f>
        <v>17</v>
      </c>
      <c r="E10" s="650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513">
        <v>22.89823777907702</v>
      </c>
      <c r="P10" s="340">
        <v>19</v>
      </c>
      <c r="Q10" s="340" t="s">
        <v>116</v>
      </c>
      <c r="R10" s="513">
        <f t="shared" si="2"/>
        <v>-3.1931724013575895</v>
      </c>
      <c r="S10" s="514">
        <f t="shared" si="2"/>
        <v>-2</v>
      </c>
    </row>
    <row r="11" spans="1:19" ht="15">
      <c r="A11" s="329">
        <f t="shared" si="0"/>
        <v>4</v>
      </c>
      <c r="B11" s="519" t="s">
        <v>121</v>
      </c>
      <c r="C11" s="516">
        <f>' 9 месяцев 2022'!ER13</f>
        <v>19.040934117101767</v>
      </c>
      <c r="D11" s="518">
        <f>' 9 месяцев 2022'!ES13</f>
        <v>22</v>
      </c>
      <c r="E11" s="650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513">
        <v>23.68286464453358</v>
      </c>
      <c r="P11" s="340">
        <v>2</v>
      </c>
      <c r="Q11" s="340" t="s">
        <v>119</v>
      </c>
      <c r="R11" s="513">
        <f t="shared" si="2"/>
        <v>-4.641930527431814</v>
      </c>
      <c r="S11" s="514">
        <f t="shared" si="2"/>
        <v>20</v>
      </c>
    </row>
    <row r="12" spans="1:19" ht="15">
      <c r="A12" s="329">
        <f t="shared" si="0"/>
        <v>5</v>
      </c>
      <c r="B12" s="519" t="s">
        <v>122</v>
      </c>
      <c r="C12" s="516">
        <f>' 9 месяцев 2022'!ER14</f>
        <v>21.526336726505495</v>
      </c>
      <c r="D12" s="518">
        <f>' 9 месяцев 2022'!ES14</f>
        <v>4</v>
      </c>
      <c r="E12" s="650" t="s">
        <v>117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513">
        <v>20.727964560599766</v>
      </c>
      <c r="P12" s="340">
        <v>16</v>
      </c>
      <c r="Q12" s="340" t="s">
        <v>117</v>
      </c>
      <c r="R12" s="513">
        <f t="shared" si="2"/>
        <v>0.7983721659057288</v>
      </c>
      <c r="S12" s="514">
        <f t="shared" si="2"/>
        <v>-12</v>
      </c>
    </row>
    <row r="13" spans="1:19" ht="15">
      <c r="A13" s="329">
        <f t="shared" si="0"/>
        <v>6</v>
      </c>
      <c r="B13" s="519" t="s">
        <v>123</v>
      </c>
      <c r="C13" s="516">
        <f>' 9 месяцев 2022'!ER15</f>
        <v>19.972742967342043</v>
      </c>
      <c r="D13" s="518">
        <f>' 9 месяцев 2022'!ES15</f>
        <v>14</v>
      </c>
      <c r="E13" s="650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513">
        <v>21.324641060239564</v>
      </c>
      <c r="P13" s="340">
        <v>14</v>
      </c>
      <c r="Q13" s="340" t="s">
        <v>117</v>
      </c>
      <c r="R13" s="513">
        <f t="shared" si="2"/>
        <v>-1.351898092897521</v>
      </c>
      <c r="S13" s="514">
        <f t="shared" si="2"/>
        <v>0</v>
      </c>
    </row>
    <row r="14" spans="1:19" ht="15">
      <c r="A14" s="329">
        <f t="shared" si="0"/>
        <v>7</v>
      </c>
      <c r="B14" s="519" t="s">
        <v>124</v>
      </c>
      <c r="C14" s="516">
        <f>' 9 месяцев 2022'!ER16</f>
        <v>19.57251946220963</v>
      </c>
      <c r="D14" s="518">
        <f>' 9 месяцев 2022'!ES16</f>
        <v>18</v>
      </c>
      <c r="E14" s="650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513">
        <v>22.201410392222645</v>
      </c>
      <c r="P14" s="340">
        <v>8</v>
      </c>
      <c r="Q14" s="340" t="s">
        <v>117</v>
      </c>
      <c r="R14" s="513">
        <f t="shared" si="2"/>
        <v>-2.6288909300130143</v>
      </c>
      <c r="S14" s="514">
        <f t="shared" si="2"/>
        <v>10</v>
      </c>
    </row>
    <row r="15" spans="1:19" ht="15">
      <c r="A15" s="329">
        <f t="shared" si="0"/>
        <v>8</v>
      </c>
      <c r="B15" s="519" t="s">
        <v>125</v>
      </c>
      <c r="C15" s="516">
        <f>' 9 месяцев 2022'!ER17</f>
        <v>23.66427132604518</v>
      </c>
      <c r="D15" s="518">
        <f>' 9 месяцев 2022'!ES17</f>
        <v>1</v>
      </c>
      <c r="E15" s="651" t="s">
        <v>119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513">
        <v>19.83964054628982</v>
      </c>
      <c r="P15" s="340">
        <v>23</v>
      </c>
      <c r="Q15" s="340" t="s">
        <v>116</v>
      </c>
      <c r="R15" s="513">
        <f t="shared" si="2"/>
        <v>3.82463077975536</v>
      </c>
      <c r="S15" s="514">
        <f t="shared" si="2"/>
        <v>-22</v>
      </c>
    </row>
    <row r="16" spans="1:19" ht="15">
      <c r="A16" s="329">
        <f t="shared" si="0"/>
        <v>9</v>
      </c>
      <c r="B16" s="519" t="s">
        <v>126</v>
      </c>
      <c r="C16" s="516">
        <f>' 9 месяцев 2022'!ER18</f>
        <v>19.562813622362448</v>
      </c>
      <c r="D16" s="518">
        <f>' 9 месяцев 2022'!ES18</f>
        <v>19</v>
      </c>
      <c r="E16" s="650" t="s">
        <v>117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513">
        <v>22.354608989794855</v>
      </c>
      <c r="P16" s="340">
        <v>6</v>
      </c>
      <c r="Q16" s="340" t="s">
        <v>117</v>
      </c>
      <c r="R16" s="513">
        <f t="shared" si="2"/>
        <v>-2.7917953674324067</v>
      </c>
      <c r="S16" s="514">
        <f t="shared" si="2"/>
        <v>13</v>
      </c>
    </row>
    <row r="17" spans="1:19" ht="15">
      <c r="A17" s="329">
        <f t="shared" si="0"/>
        <v>10</v>
      </c>
      <c r="B17" s="519" t="s">
        <v>127</v>
      </c>
      <c r="C17" s="516">
        <f>' 9 месяцев 2022'!ER19</f>
        <v>20.493593149141237</v>
      </c>
      <c r="D17" s="518">
        <f>' 9 месяцев 2022'!ES19</f>
        <v>11</v>
      </c>
      <c r="E17" s="650" t="s">
        <v>117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513">
        <v>22.28579767269808</v>
      </c>
      <c r="P17" s="340">
        <v>7</v>
      </c>
      <c r="Q17" s="340" t="s">
        <v>117</v>
      </c>
      <c r="R17" s="513">
        <f t="shared" si="2"/>
        <v>-1.792204523556844</v>
      </c>
      <c r="S17" s="514">
        <f t="shared" si="2"/>
        <v>4</v>
      </c>
    </row>
    <row r="18" spans="1:19" ht="15">
      <c r="A18" s="329">
        <f t="shared" si="0"/>
        <v>11</v>
      </c>
      <c r="B18" s="519" t="s">
        <v>128</v>
      </c>
      <c r="C18" s="516">
        <f>' 9 месяцев 2022'!ER20</f>
        <v>19.943035400678536</v>
      </c>
      <c r="D18" s="518">
        <f>' 9 месяцев 2022'!ES20</f>
        <v>15</v>
      </c>
      <c r="E18" s="650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513">
        <v>21.28406506910028</v>
      </c>
      <c r="P18" s="340">
        <v>20</v>
      </c>
      <c r="Q18" s="340" t="s">
        <v>116</v>
      </c>
      <c r="R18" s="513">
        <f t="shared" si="2"/>
        <v>-1.3410296684217435</v>
      </c>
      <c r="S18" s="514">
        <f t="shared" si="2"/>
        <v>-5</v>
      </c>
    </row>
    <row r="19" spans="1:19" ht="15">
      <c r="A19" s="329">
        <f t="shared" si="0"/>
        <v>12</v>
      </c>
      <c r="B19" s="519" t="s">
        <v>129</v>
      </c>
      <c r="C19" s="516">
        <f>' 9 месяцев 2022'!ER21</f>
        <v>19.215552551698853</v>
      </c>
      <c r="D19" s="518">
        <f>' 9 месяцев 2022'!ES21</f>
        <v>21</v>
      </c>
      <c r="E19" s="650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513">
        <v>23.200326869018454</v>
      </c>
      <c r="P19" s="340">
        <v>4</v>
      </c>
      <c r="Q19" s="340" t="s">
        <v>117</v>
      </c>
      <c r="R19" s="513">
        <f t="shared" si="2"/>
        <v>-3.9847743173196015</v>
      </c>
      <c r="S19" s="514">
        <f t="shared" si="2"/>
        <v>17</v>
      </c>
    </row>
    <row r="20" spans="1:19" ht="15">
      <c r="A20" s="329">
        <f t="shared" si="0"/>
        <v>13</v>
      </c>
      <c r="B20" s="519" t="s">
        <v>130</v>
      </c>
      <c r="C20" s="516">
        <f>' 9 месяцев 2022'!ER22</f>
        <v>20.452605455157965</v>
      </c>
      <c r="D20" s="518">
        <f>' 9 месяцев 2022'!ES22</f>
        <v>12</v>
      </c>
      <c r="E20" s="650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513">
        <v>21.197252457964836</v>
      </c>
      <c r="P20" s="340">
        <v>15</v>
      </c>
      <c r="Q20" s="340" t="s">
        <v>117</v>
      </c>
      <c r="R20" s="513">
        <f t="shared" si="2"/>
        <v>-0.7446470028068717</v>
      </c>
      <c r="S20" s="514">
        <f t="shared" si="2"/>
        <v>-3</v>
      </c>
    </row>
    <row r="21" spans="1:19" ht="15">
      <c r="A21" s="329">
        <f t="shared" si="0"/>
        <v>14</v>
      </c>
      <c r="B21" s="519" t="s">
        <v>131</v>
      </c>
      <c r="C21" s="516">
        <f>' 9 месяцев 2022'!ER23</f>
        <v>19.890330278074604</v>
      </c>
      <c r="D21" s="518">
        <f>' 9 месяцев 2022'!ES23</f>
        <v>16</v>
      </c>
      <c r="E21" s="650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513">
        <v>21.545696582639835</v>
      </c>
      <c r="P21" s="340">
        <v>13</v>
      </c>
      <c r="Q21" s="340" t="s">
        <v>117</v>
      </c>
      <c r="R21" s="513">
        <f t="shared" si="2"/>
        <v>-1.6553663045652307</v>
      </c>
      <c r="S21" s="514">
        <f t="shared" si="2"/>
        <v>3</v>
      </c>
    </row>
    <row r="22" spans="1:19" ht="15">
      <c r="A22" s="329">
        <f t="shared" si="0"/>
        <v>15</v>
      </c>
      <c r="B22" s="519" t="s">
        <v>132</v>
      </c>
      <c r="C22" s="516">
        <f>' 9 месяцев 2022'!ER24</f>
        <v>20.643395194850676</v>
      </c>
      <c r="D22" s="518">
        <f>' 9 месяцев 2022'!ES24</f>
        <v>10</v>
      </c>
      <c r="E22" s="650" t="s">
        <v>117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513">
        <v>22.12619982637446</v>
      </c>
      <c r="P22" s="340">
        <v>9</v>
      </c>
      <c r="Q22" s="340" t="s">
        <v>117</v>
      </c>
      <c r="R22" s="513">
        <f t="shared" si="2"/>
        <v>-1.4828046315237842</v>
      </c>
      <c r="S22" s="514">
        <f t="shared" si="2"/>
        <v>1</v>
      </c>
    </row>
    <row r="23" spans="1:19" ht="15">
      <c r="A23" s="329">
        <f t="shared" si="0"/>
        <v>16</v>
      </c>
      <c r="B23" s="519" t="s">
        <v>133</v>
      </c>
      <c r="C23" s="516">
        <f>' 9 месяцев 2022'!ER25</f>
        <v>21.208998057263017</v>
      </c>
      <c r="D23" s="518">
        <f>' 9 месяцев 2022'!ES25</f>
        <v>7</v>
      </c>
      <c r="E23" s="650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513">
        <v>22.003913579326042</v>
      </c>
      <c r="P23" s="340">
        <v>10</v>
      </c>
      <c r="Q23" s="340" t="s">
        <v>117</v>
      </c>
      <c r="R23" s="513">
        <f t="shared" si="2"/>
        <v>-0.7949155220630253</v>
      </c>
      <c r="S23" s="514">
        <f t="shared" si="2"/>
        <v>-3</v>
      </c>
    </row>
    <row r="24" spans="1:19" ht="15">
      <c r="A24" s="329">
        <f t="shared" si="0"/>
        <v>17</v>
      </c>
      <c r="B24" s="519" t="s">
        <v>134</v>
      </c>
      <c r="C24" s="516">
        <f>' 9 месяцев 2022'!ER26</f>
        <v>17.87327119443251</v>
      </c>
      <c r="D24" s="518">
        <f>' 9 месяцев 2022'!ES26</f>
        <v>24</v>
      </c>
      <c r="E24" s="650" t="s">
        <v>117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513">
        <v>20.75320703499068</v>
      </c>
      <c r="P24" s="340">
        <v>22</v>
      </c>
      <c r="Q24" s="340" t="s">
        <v>116</v>
      </c>
      <c r="R24" s="513">
        <f t="shared" si="2"/>
        <v>-2.879935840558172</v>
      </c>
      <c r="S24" s="514">
        <f t="shared" si="2"/>
        <v>2</v>
      </c>
    </row>
    <row r="25" spans="1:19" ht="15">
      <c r="A25" s="329">
        <f t="shared" si="0"/>
        <v>18</v>
      </c>
      <c r="B25" s="519" t="s">
        <v>135</v>
      </c>
      <c r="C25" s="516">
        <f>' 9 месяцев 2022'!ER27</f>
        <v>20.8309204018768</v>
      </c>
      <c r="D25" s="518">
        <f>' 9 месяцев 2022'!ES27</f>
        <v>9</v>
      </c>
      <c r="E25" s="650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513">
        <v>19.740985861303372</v>
      </c>
      <c r="P25" s="340">
        <v>24</v>
      </c>
      <c r="Q25" s="340" t="s">
        <v>116</v>
      </c>
      <c r="R25" s="513">
        <f t="shared" si="2"/>
        <v>1.0899345405734273</v>
      </c>
      <c r="S25" s="514">
        <f t="shared" si="2"/>
        <v>-15</v>
      </c>
    </row>
    <row r="26" spans="1:19" ht="15">
      <c r="A26" s="329">
        <f t="shared" si="0"/>
        <v>19</v>
      </c>
      <c r="B26" s="519" t="s">
        <v>136</v>
      </c>
      <c r="C26" s="516">
        <f>' 9 месяцев 2022'!ER28</f>
        <v>20.354170132879428</v>
      </c>
      <c r="D26" s="518">
        <f>' 9 месяцев 2022'!ES28</f>
        <v>13</v>
      </c>
      <c r="E26" s="650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513">
        <v>21.97765124385201</v>
      </c>
      <c r="P26" s="340">
        <v>11</v>
      </c>
      <c r="Q26" s="340" t="s">
        <v>117</v>
      </c>
      <c r="R26" s="513">
        <f t="shared" si="2"/>
        <v>-1.6234811109725804</v>
      </c>
      <c r="S26" s="514">
        <f t="shared" si="2"/>
        <v>2</v>
      </c>
    </row>
    <row r="27" spans="1:19" ht="15">
      <c r="A27" s="329">
        <f t="shared" si="0"/>
        <v>20</v>
      </c>
      <c r="B27" s="519" t="s">
        <v>137</v>
      </c>
      <c r="C27" s="516">
        <f>' 9 месяцев 2022'!ER29</f>
        <v>21.266991613172763</v>
      </c>
      <c r="D27" s="518">
        <f>' 9 месяцев 2022'!ES29</f>
        <v>5</v>
      </c>
      <c r="E27" s="650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513">
        <v>24.399098082404016</v>
      </c>
      <c r="P27" s="340">
        <v>1</v>
      </c>
      <c r="Q27" s="340" t="s">
        <v>119</v>
      </c>
      <c r="R27" s="513">
        <f t="shared" si="2"/>
        <v>-3.1321064692312532</v>
      </c>
      <c r="S27" s="514">
        <f t="shared" si="2"/>
        <v>4</v>
      </c>
    </row>
    <row r="28" spans="1:19" ht="15">
      <c r="A28" s="329">
        <f t="shared" si="0"/>
        <v>21</v>
      </c>
      <c r="B28" s="519" t="s">
        <v>138</v>
      </c>
      <c r="C28" s="516">
        <f>' 9 месяцев 2022'!ER30</f>
        <v>21.68488697506526</v>
      </c>
      <c r="D28" s="518">
        <f>' 9 месяцев 2022'!ES30</f>
        <v>3</v>
      </c>
      <c r="E28" s="650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513">
        <v>23.126098926315844</v>
      </c>
      <c r="P28" s="340">
        <v>5</v>
      </c>
      <c r="Q28" s="340" t="s">
        <v>117</v>
      </c>
      <c r="R28" s="513">
        <f t="shared" si="2"/>
        <v>-1.4412119512505832</v>
      </c>
      <c r="S28" s="514">
        <f t="shared" si="2"/>
        <v>-2</v>
      </c>
    </row>
    <row r="29" spans="1:19" ht="15">
      <c r="A29" s="329">
        <f t="shared" si="0"/>
        <v>22</v>
      </c>
      <c r="B29" s="519" t="s">
        <v>139</v>
      </c>
      <c r="C29" s="516">
        <f>' 9 месяцев 2022'!ER31</f>
        <v>20.897899958732882</v>
      </c>
      <c r="D29" s="518">
        <f>' 9 месяцев 2022'!ES31</f>
        <v>8</v>
      </c>
      <c r="E29" s="650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513">
        <v>20.244699851664663</v>
      </c>
      <c r="P29" s="340">
        <v>18</v>
      </c>
      <c r="Q29" s="340" t="s">
        <v>116</v>
      </c>
      <c r="R29" s="513">
        <f t="shared" si="2"/>
        <v>0.6532001070682192</v>
      </c>
      <c r="S29" s="514">
        <f t="shared" si="2"/>
        <v>-10</v>
      </c>
    </row>
    <row r="30" spans="1:19" ht="25.5">
      <c r="A30" s="329">
        <f t="shared" si="0"/>
        <v>23</v>
      </c>
      <c r="B30" s="519" t="s">
        <v>140</v>
      </c>
      <c r="C30" s="516">
        <f>' 9 месяцев 2022'!ER32</f>
        <v>21.15966559894726</v>
      </c>
      <c r="D30" s="518">
        <f>' 9 месяцев 2022'!ES32</f>
        <v>6</v>
      </c>
      <c r="E30" s="650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513">
        <v>21.894669014050322</v>
      </c>
      <c r="P30" s="340">
        <v>12</v>
      </c>
      <c r="Q30" s="340" t="s">
        <v>117</v>
      </c>
      <c r="R30" s="513">
        <f t="shared" si="2"/>
        <v>-0.735003415103062</v>
      </c>
      <c r="S30" s="514">
        <f t="shared" si="2"/>
        <v>-6</v>
      </c>
    </row>
    <row r="31" spans="1:19" ht="15">
      <c r="A31" s="329">
        <f t="shared" si="0"/>
        <v>24</v>
      </c>
      <c r="B31" s="519" t="s">
        <v>141</v>
      </c>
      <c r="C31" s="516">
        <f>' 9 месяцев 2022'!ER33</f>
        <v>18.41414576743816</v>
      </c>
      <c r="D31" s="518">
        <f>' 9 месяцев 2022'!ES33</f>
        <v>23</v>
      </c>
      <c r="E31" s="650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513">
        <v>23.403887077031523</v>
      </c>
      <c r="P31" s="340">
        <v>3</v>
      </c>
      <c r="Q31" s="340" t="s">
        <v>119</v>
      </c>
      <c r="R31" s="513">
        <f t="shared" si="2"/>
        <v>-4.989741309593363</v>
      </c>
      <c r="S31" s="514">
        <f t="shared" si="2"/>
        <v>20</v>
      </c>
    </row>
    <row r="32" spans="1:15" ht="14.25" thickBot="1">
      <c r="A32" s="520"/>
      <c r="B32" s="521" t="s">
        <v>189</v>
      </c>
      <c r="C32" s="522">
        <f>SUM(C8:C31)/24</f>
        <v>20.357372068729774</v>
      </c>
      <c r="D32" s="523" t="s">
        <v>142</v>
      </c>
      <c r="E32" s="52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513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750" t="s">
        <v>1</v>
      </c>
      <c r="B2" s="753" t="s">
        <v>168</v>
      </c>
      <c r="C2" s="750" t="s">
        <v>171</v>
      </c>
      <c r="D2" s="761"/>
      <c r="E2" s="753"/>
      <c r="F2" s="342"/>
      <c r="H2" s="735" t="s">
        <v>169</v>
      </c>
      <c r="I2" s="736"/>
      <c r="J2" s="737"/>
    </row>
    <row r="3" spans="1:10" ht="7.5" customHeight="1">
      <c r="A3" s="751"/>
      <c r="B3" s="754"/>
      <c r="C3" s="751"/>
      <c r="D3" s="762"/>
      <c r="E3" s="754"/>
      <c r="F3" s="342"/>
      <c r="H3" s="738"/>
      <c r="I3" s="739"/>
      <c r="J3" s="740"/>
    </row>
    <row r="4" spans="1:10" ht="12.75" hidden="1">
      <c r="A4" s="751"/>
      <c r="B4" s="754"/>
      <c r="C4" s="751"/>
      <c r="D4" s="762"/>
      <c r="E4" s="754"/>
      <c r="F4" s="342"/>
      <c r="H4" s="738"/>
      <c r="I4" s="739"/>
      <c r="J4" s="740"/>
    </row>
    <row r="5" spans="1:10" ht="9.75" customHeight="1">
      <c r="A5" s="751"/>
      <c r="B5" s="754"/>
      <c r="C5" s="763"/>
      <c r="D5" s="764"/>
      <c r="E5" s="765"/>
      <c r="F5" s="342"/>
      <c r="H5" s="741"/>
      <c r="I5" s="742"/>
      <c r="J5" s="743"/>
    </row>
    <row r="6" spans="1:10" ht="12.75" customHeight="1">
      <c r="A6" s="751"/>
      <c r="B6" s="754"/>
      <c r="C6" s="757" t="s">
        <v>107</v>
      </c>
      <c r="D6" s="759" t="s">
        <v>108</v>
      </c>
      <c r="E6" s="756" t="s">
        <v>110</v>
      </c>
      <c r="F6" s="342"/>
      <c r="H6" s="744" t="s">
        <v>107</v>
      </c>
      <c r="I6" s="746" t="s">
        <v>108</v>
      </c>
      <c r="J6" s="748" t="s">
        <v>110</v>
      </c>
    </row>
    <row r="7" spans="1:12" ht="57.75" customHeight="1" thickBot="1">
      <c r="A7" s="752"/>
      <c r="B7" s="755"/>
      <c r="C7" s="758"/>
      <c r="D7" s="760"/>
      <c r="E7" s="755"/>
      <c r="F7" s="342"/>
      <c r="H7" s="745"/>
      <c r="I7" s="747"/>
      <c r="J7" s="749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714" t="s">
        <v>1</v>
      </c>
      <c r="B4" s="715" t="s">
        <v>2</v>
      </c>
      <c r="C4" s="669" t="s">
        <v>3</v>
      </c>
      <c r="D4" s="679"/>
      <c r="E4" s="669" t="s">
        <v>4</v>
      </c>
      <c r="F4" s="683"/>
      <c r="G4" s="696" t="s">
        <v>5</v>
      </c>
      <c r="H4" s="652"/>
      <c r="I4" s="652"/>
      <c r="J4" s="692"/>
      <c r="K4" s="669" t="s">
        <v>6</v>
      </c>
      <c r="L4" s="652"/>
      <c r="M4" s="652"/>
      <c r="N4" s="679"/>
      <c r="O4" s="669" t="s">
        <v>7</v>
      </c>
      <c r="P4" s="652"/>
      <c r="Q4" s="652"/>
      <c r="R4" s="679"/>
      <c r="S4" s="669" t="s">
        <v>8</v>
      </c>
      <c r="T4" s="652"/>
      <c r="U4" s="652"/>
      <c r="V4" s="679"/>
      <c r="W4" s="669" t="s">
        <v>9</v>
      </c>
      <c r="X4" s="652"/>
      <c r="Y4" s="652"/>
      <c r="Z4" s="679"/>
      <c r="AA4" s="669" t="s">
        <v>172</v>
      </c>
      <c r="AB4" s="652"/>
      <c r="AC4" s="652"/>
      <c r="AD4" s="679"/>
      <c r="AE4" s="669" t="s">
        <v>10</v>
      </c>
      <c r="AF4" s="652"/>
      <c r="AG4" s="652"/>
      <c r="AH4" s="652"/>
      <c r="AI4" s="679"/>
      <c r="AJ4" s="669" t="s">
        <v>11</v>
      </c>
      <c r="AK4" s="652"/>
      <c r="AL4" s="652"/>
      <c r="AM4" s="692"/>
      <c r="AN4" s="652" t="s">
        <v>12</v>
      </c>
      <c r="AO4" s="652"/>
      <c r="AP4" s="652"/>
      <c r="AQ4" s="652"/>
      <c r="AR4" s="7"/>
      <c r="AS4" s="7"/>
      <c r="AT4" s="652" t="s">
        <v>13</v>
      </c>
      <c r="AU4" s="652"/>
      <c r="AV4" s="652"/>
      <c r="AW4" s="652"/>
      <c r="AX4" s="652" t="s">
        <v>14</v>
      </c>
      <c r="AY4" s="652"/>
      <c r="AZ4" s="652"/>
      <c r="BA4" s="652"/>
      <c r="BB4" s="652"/>
      <c r="BC4" s="652" t="s">
        <v>15</v>
      </c>
      <c r="BD4" s="652"/>
      <c r="BE4" s="652"/>
      <c r="BF4" s="652"/>
      <c r="BG4" s="6"/>
      <c r="BH4" s="7"/>
      <c r="BI4" s="7"/>
      <c r="BJ4" s="652" t="s">
        <v>16</v>
      </c>
      <c r="BK4" s="652"/>
      <c r="BL4" s="652"/>
      <c r="BM4" s="652"/>
      <c r="BN4" s="652" t="s">
        <v>17</v>
      </c>
      <c r="BO4" s="652"/>
      <c r="BP4" s="652"/>
      <c r="BQ4" s="652"/>
      <c r="BR4" s="652"/>
      <c r="BS4" s="725" t="s">
        <v>18</v>
      </c>
      <c r="BT4" s="725"/>
      <c r="BU4" s="725"/>
      <c r="BV4" s="652" t="s">
        <v>19</v>
      </c>
      <c r="BW4" s="692"/>
      <c r="BX4" s="669" t="s">
        <v>20</v>
      </c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79"/>
      <c r="CN4" s="696" t="s">
        <v>21</v>
      </c>
      <c r="CO4" s="652"/>
      <c r="CP4" s="652"/>
      <c r="CQ4" s="652"/>
      <c r="CR4" s="652"/>
      <c r="CS4" s="652"/>
      <c r="CT4" s="652"/>
      <c r="CU4" s="652"/>
      <c r="CV4" s="652"/>
      <c r="CW4" s="652"/>
      <c r="CX4" s="652"/>
      <c r="CY4" s="652"/>
      <c r="CZ4" s="652"/>
      <c r="DA4" s="652"/>
      <c r="DB4" s="652"/>
      <c r="DC4" s="692"/>
      <c r="DD4" s="669" t="s">
        <v>22</v>
      </c>
      <c r="DE4" s="652"/>
      <c r="DF4" s="652"/>
      <c r="DG4" s="652"/>
      <c r="DH4" s="652"/>
      <c r="DI4" s="652"/>
      <c r="DJ4" s="652"/>
      <c r="DK4" s="652"/>
      <c r="DL4" s="652"/>
      <c r="DM4" s="652"/>
      <c r="DN4" s="652"/>
      <c r="DO4" s="679"/>
      <c r="DP4" s="669" t="s">
        <v>23</v>
      </c>
      <c r="DQ4" s="679"/>
      <c r="DR4" s="669" t="s">
        <v>24</v>
      </c>
      <c r="DS4" s="679"/>
      <c r="DT4" s="696" t="s">
        <v>25</v>
      </c>
      <c r="DU4" s="692"/>
      <c r="DV4" s="652" t="s">
        <v>26</v>
      </c>
      <c r="DW4" s="652"/>
      <c r="DX4" s="679"/>
      <c r="DY4" s="669" t="s">
        <v>27</v>
      </c>
      <c r="DZ4" s="652"/>
      <c r="EA4" s="679"/>
      <c r="EB4" s="696" t="s">
        <v>28</v>
      </c>
      <c r="EC4" s="652"/>
      <c r="ED4" s="652"/>
      <c r="EE4" s="652" t="s">
        <v>29</v>
      </c>
      <c r="EF4" s="652"/>
      <c r="EG4" s="652"/>
      <c r="EH4" s="652" t="s">
        <v>30</v>
      </c>
      <c r="EI4" s="652"/>
      <c r="EJ4" s="692"/>
      <c r="EK4" s="669" t="s">
        <v>31</v>
      </c>
      <c r="EL4" s="652"/>
      <c r="EM4" s="679"/>
      <c r="EN4" s="656" t="s">
        <v>160</v>
      </c>
      <c r="EO4" s="657"/>
      <c r="EP4" s="669" t="s">
        <v>32</v>
      </c>
      <c r="EQ4" s="652"/>
      <c r="ER4" s="652"/>
      <c r="ES4" s="679"/>
    </row>
    <row r="5" spans="1:149" s="11" customFormat="1" ht="15.75">
      <c r="A5" s="684"/>
      <c r="B5" s="716"/>
      <c r="C5" s="680"/>
      <c r="D5" s="681"/>
      <c r="E5" s="684"/>
      <c r="F5" s="685"/>
      <c r="G5" s="697"/>
      <c r="H5" s="653"/>
      <c r="I5" s="653"/>
      <c r="J5" s="693"/>
      <c r="K5" s="680"/>
      <c r="L5" s="653"/>
      <c r="M5" s="653"/>
      <c r="N5" s="681"/>
      <c r="O5" s="680"/>
      <c r="P5" s="653"/>
      <c r="Q5" s="653"/>
      <c r="R5" s="681"/>
      <c r="S5" s="680"/>
      <c r="T5" s="653"/>
      <c r="U5" s="653"/>
      <c r="V5" s="681"/>
      <c r="W5" s="680"/>
      <c r="X5" s="653"/>
      <c r="Y5" s="653"/>
      <c r="Z5" s="681"/>
      <c r="AA5" s="680"/>
      <c r="AB5" s="653"/>
      <c r="AC5" s="653"/>
      <c r="AD5" s="681"/>
      <c r="AE5" s="680"/>
      <c r="AF5" s="653"/>
      <c r="AG5" s="653"/>
      <c r="AH5" s="653"/>
      <c r="AI5" s="681"/>
      <c r="AJ5" s="680"/>
      <c r="AK5" s="653"/>
      <c r="AL5" s="653"/>
      <c r="AM5" s="693"/>
      <c r="AN5" s="653"/>
      <c r="AO5" s="653"/>
      <c r="AP5" s="653"/>
      <c r="AQ5" s="653"/>
      <c r="AR5" s="10"/>
      <c r="AS5" s="10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9"/>
      <c r="BH5" s="10"/>
      <c r="BI5" s="10"/>
      <c r="BJ5" s="653"/>
      <c r="BK5" s="653"/>
      <c r="BL5" s="653"/>
      <c r="BM5" s="653"/>
      <c r="BN5" s="653"/>
      <c r="BO5" s="653"/>
      <c r="BP5" s="653"/>
      <c r="BQ5" s="653"/>
      <c r="BR5" s="653"/>
      <c r="BS5" s="726"/>
      <c r="BT5" s="726"/>
      <c r="BU5" s="726"/>
      <c r="BV5" s="653"/>
      <c r="BW5" s="693"/>
      <c r="BX5" s="680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81"/>
      <c r="CN5" s="697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93"/>
      <c r="DD5" s="680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81"/>
      <c r="DP5" s="680"/>
      <c r="DQ5" s="681"/>
      <c r="DR5" s="680"/>
      <c r="DS5" s="681"/>
      <c r="DT5" s="697"/>
      <c r="DU5" s="693"/>
      <c r="DV5" s="653"/>
      <c r="DW5" s="653"/>
      <c r="DX5" s="681"/>
      <c r="DY5" s="680"/>
      <c r="DZ5" s="653"/>
      <c r="EA5" s="681"/>
      <c r="EB5" s="697"/>
      <c r="EC5" s="653"/>
      <c r="ED5" s="653"/>
      <c r="EE5" s="653"/>
      <c r="EF5" s="653"/>
      <c r="EG5" s="653"/>
      <c r="EH5" s="653"/>
      <c r="EI5" s="653"/>
      <c r="EJ5" s="693"/>
      <c r="EK5" s="680"/>
      <c r="EL5" s="653"/>
      <c r="EM5" s="681"/>
      <c r="EN5" s="658"/>
      <c r="EO5" s="659"/>
      <c r="EP5" s="680"/>
      <c r="EQ5" s="653"/>
      <c r="ER5" s="653"/>
      <c r="ES5" s="681"/>
    </row>
    <row r="6" spans="1:149" s="16" customFormat="1" ht="153" customHeight="1" thickBot="1">
      <c r="A6" s="684"/>
      <c r="B6" s="716"/>
      <c r="C6" s="670"/>
      <c r="D6" s="682"/>
      <c r="E6" s="686"/>
      <c r="F6" s="687"/>
      <c r="G6" s="698"/>
      <c r="H6" s="654"/>
      <c r="I6" s="654"/>
      <c r="J6" s="694"/>
      <c r="K6" s="670"/>
      <c r="L6" s="654"/>
      <c r="M6" s="654"/>
      <c r="N6" s="682"/>
      <c r="O6" s="670"/>
      <c r="P6" s="654"/>
      <c r="Q6" s="654"/>
      <c r="R6" s="682"/>
      <c r="S6" s="670"/>
      <c r="T6" s="654"/>
      <c r="U6" s="654"/>
      <c r="V6" s="682"/>
      <c r="W6" s="670"/>
      <c r="X6" s="654"/>
      <c r="Y6" s="654"/>
      <c r="Z6" s="682"/>
      <c r="AA6" s="670"/>
      <c r="AB6" s="654"/>
      <c r="AC6" s="654"/>
      <c r="AD6" s="682"/>
      <c r="AE6" s="670"/>
      <c r="AF6" s="654"/>
      <c r="AG6" s="654"/>
      <c r="AH6" s="654"/>
      <c r="AI6" s="682"/>
      <c r="AJ6" s="670"/>
      <c r="AK6" s="654"/>
      <c r="AL6" s="654"/>
      <c r="AM6" s="694"/>
      <c r="AN6" s="654"/>
      <c r="AO6" s="654"/>
      <c r="AP6" s="654"/>
      <c r="AQ6" s="654"/>
      <c r="AR6" s="15"/>
      <c r="AS6" s="15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54"/>
      <c r="BG6" s="14"/>
      <c r="BH6" s="15"/>
      <c r="BI6" s="15"/>
      <c r="BJ6" s="654"/>
      <c r="BK6" s="654"/>
      <c r="BL6" s="654"/>
      <c r="BM6" s="654"/>
      <c r="BN6" s="654"/>
      <c r="BO6" s="654"/>
      <c r="BP6" s="654"/>
      <c r="BQ6" s="654"/>
      <c r="BR6" s="654"/>
      <c r="BS6" s="727"/>
      <c r="BT6" s="727"/>
      <c r="BU6" s="727"/>
      <c r="BV6" s="654"/>
      <c r="BW6" s="694"/>
      <c r="BX6" s="670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82"/>
      <c r="CN6" s="698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54"/>
      <c r="DB6" s="654"/>
      <c r="DC6" s="694"/>
      <c r="DD6" s="670"/>
      <c r="DE6" s="654"/>
      <c r="DF6" s="654"/>
      <c r="DG6" s="654"/>
      <c r="DH6" s="654"/>
      <c r="DI6" s="654"/>
      <c r="DJ6" s="654"/>
      <c r="DK6" s="654"/>
      <c r="DL6" s="654"/>
      <c r="DM6" s="654"/>
      <c r="DN6" s="654"/>
      <c r="DO6" s="682"/>
      <c r="DP6" s="670"/>
      <c r="DQ6" s="682"/>
      <c r="DR6" s="670"/>
      <c r="DS6" s="682"/>
      <c r="DT6" s="698"/>
      <c r="DU6" s="694"/>
      <c r="DV6" s="654"/>
      <c r="DW6" s="654"/>
      <c r="DX6" s="682"/>
      <c r="DY6" s="670"/>
      <c r="DZ6" s="654"/>
      <c r="EA6" s="682"/>
      <c r="EB6" s="698"/>
      <c r="EC6" s="654"/>
      <c r="ED6" s="654"/>
      <c r="EE6" s="654"/>
      <c r="EF6" s="654"/>
      <c r="EG6" s="654"/>
      <c r="EH6" s="654"/>
      <c r="EI6" s="654"/>
      <c r="EJ6" s="694"/>
      <c r="EK6" s="670"/>
      <c r="EL6" s="654"/>
      <c r="EM6" s="682"/>
      <c r="EN6" s="660"/>
      <c r="EO6" s="661"/>
      <c r="EP6" s="680"/>
      <c r="EQ6" s="653"/>
      <c r="ER6" s="653"/>
      <c r="ES6" s="681"/>
    </row>
    <row r="7" spans="1:149" s="16" customFormat="1" ht="16.5" thickBot="1">
      <c r="A7" s="684"/>
      <c r="B7" s="716"/>
      <c r="C7" s="766" t="s">
        <v>33</v>
      </c>
      <c r="D7" s="768"/>
      <c r="E7" s="766" t="s">
        <v>34</v>
      </c>
      <c r="F7" s="768"/>
      <c r="G7" s="769" t="s">
        <v>35</v>
      </c>
      <c r="H7" s="767"/>
      <c r="I7" s="767"/>
      <c r="J7" s="770"/>
      <c r="K7" s="766" t="s">
        <v>36</v>
      </c>
      <c r="L7" s="767"/>
      <c r="M7" s="767"/>
      <c r="N7" s="768"/>
      <c r="O7" s="766" t="s">
        <v>37</v>
      </c>
      <c r="P7" s="767"/>
      <c r="Q7" s="767"/>
      <c r="R7" s="768"/>
      <c r="S7" s="766" t="s">
        <v>38</v>
      </c>
      <c r="T7" s="767"/>
      <c r="U7" s="767"/>
      <c r="V7" s="768"/>
      <c r="W7" s="766" t="s">
        <v>39</v>
      </c>
      <c r="X7" s="767"/>
      <c r="Y7" s="767"/>
      <c r="Z7" s="768"/>
      <c r="AA7" s="766" t="s">
        <v>40</v>
      </c>
      <c r="AB7" s="767"/>
      <c r="AC7" s="767"/>
      <c r="AD7" s="768"/>
      <c r="AE7" s="766" t="s">
        <v>41</v>
      </c>
      <c r="AF7" s="767"/>
      <c r="AG7" s="767"/>
      <c r="AH7" s="767"/>
      <c r="AI7" s="768"/>
      <c r="AJ7" s="766" t="s">
        <v>42</v>
      </c>
      <c r="AK7" s="767"/>
      <c r="AL7" s="767"/>
      <c r="AM7" s="770"/>
      <c r="AN7" s="767" t="s">
        <v>43</v>
      </c>
      <c r="AO7" s="767"/>
      <c r="AP7" s="767"/>
      <c r="AQ7" s="767"/>
      <c r="AR7" s="376"/>
      <c r="AS7" s="376"/>
      <c r="AT7" s="767" t="s">
        <v>44</v>
      </c>
      <c r="AU7" s="767"/>
      <c r="AV7" s="767"/>
      <c r="AW7" s="767"/>
      <c r="AX7" s="767" t="s">
        <v>45</v>
      </c>
      <c r="AY7" s="767"/>
      <c r="AZ7" s="767"/>
      <c r="BA7" s="767"/>
      <c r="BB7" s="767"/>
      <c r="BC7" s="767" t="s">
        <v>46</v>
      </c>
      <c r="BD7" s="767"/>
      <c r="BE7" s="767"/>
      <c r="BF7" s="767"/>
      <c r="BG7" s="375"/>
      <c r="BH7" s="376"/>
      <c r="BI7" s="376"/>
      <c r="BJ7" s="767" t="s">
        <v>47</v>
      </c>
      <c r="BK7" s="767"/>
      <c r="BL7" s="767"/>
      <c r="BM7" s="767"/>
      <c r="BN7" s="767" t="s">
        <v>48</v>
      </c>
      <c r="BO7" s="767"/>
      <c r="BP7" s="767"/>
      <c r="BQ7" s="767"/>
      <c r="BR7" s="767"/>
      <c r="BS7" s="767" t="s">
        <v>49</v>
      </c>
      <c r="BT7" s="767"/>
      <c r="BU7" s="767"/>
      <c r="BV7" s="767" t="s">
        <v>50</v>
      </c>
      <c r="BW7" s="770"/>
      <c r="BX7" s="766" t="s">
        <v>51</v>
      </c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8"/>
      <c r="CN7" s="769" t="s">
        <v>52</v>
      </c>
      <c r="CO7" s="767"/>
      <c r="CP7" s="767"/>
      <c r="CQ7" s="767"/>
      <c r="CR7" s="767"/>
      <c r="CS7" s="767"/>
      <c r="CT7" s="767"/>
      <c r="CU7" s="767"/>
      <c r="CV7" s="767"/>
      <c r="CW7" s="767"/>
      <c r="CX7" s="767"/>
      <c r="CY7" s="767"/>
      <c r="CZ7" s="767"/>
      <c r="DA7" s="767"/>
      <c r="DB7" s="767"/>
      <c r="DC7" s="770"/>
      <c r="DD7" s="766" t="s">
        <v>53</v>
      </c>
      <c r="DE7" s="767"/>
      <c r="DF7" s="767"/>
      <c r="DG7" s="767"/>
      <c r="DH7" s="767"/>
      <c r="DI7" s="767"/>
      <c r="DJ7" s="767"/>
      <c r="DK7" s="767"/>
      <c r="DL7" s="767"/>
      <c r="DM7" s="767"/>
      <c r="DN7" s="767"/>
      <c r="DO7" s="768"/>
      <c r="DP7" s="766" t="s">
        <v>54</v>
      </c>
      <c r="DQ7" s="768"/>
      <c r="DR7" s="766" t="s">
        <v>55</v>
      </c>
      <c r="DS7" s="768"/>
      <c r="DT7" s="769" t="s">
        <v>56</v>
      </c>
      <c r="DU7" s="770"/>
      <c r="DV7" s="767" t="s">
        <v>57</v>
      </c>
      <c r="DW7" s="767"/>
      <c r="DX7" s="768"/>
      <c r="DY7" s="766" t="s">
        <v>58</v>
      </c>
      <c r="DZ7" s="767"/>
      <c r="EA7" s="768"/>
      <c r="EB7" s="769" t="s">
        <v>59</v>
      </c>
      <c r="EC7" s="767"/>
      <c r="ED7" s="767"/>
      <c r="EE7" s="767" t="s">
        <v>60</v>
      </c>
      <c r="EF7" s="767"/>
      <c r="EG7" s="767"/>
      <c r="EH7" s="767" t="s">
        <v>61</v>
      </c>
      <c r="EI7" s="767"/>
      <c r="EJ7" s="770"/>
      <c r="EK7" s="766" t="s">
        <v>63</v>
      </c>
      <c r="EL7" s="767"/>
      <c r="EM7" s="768"/>
      <c r="EN7" s="662" t="s">
        <v>62</v>
      </c>
      <c r="EO7" s="663"/>
      <c r="EP7" s="670"/>
      <c r="EQ7" s="654"/>
      <c r="ER7" s="654"/>
      <c r="ES7" s="682"/>
    </row>
    <row r="8" spans="1:149" s="16" customFormat="1" ht="111.75" customHeight="1" thickBot="1">
      <c r="A8" s="684"/>
      <c r="B8" s="716"/>
      <c r="C8" s="669" t="s">
        <v>64</v>
      </c>
      <c r="D8" s="671" t="s">
        <v>65</v>
      </c>
      <c r="E8" s="669" t="s">
        <v>64</v>
      </c>
      <c r="F8" s="671" t="s">
        <v>65</v>
      </c>
      <c r="G8" s="696" t="s">
        <v>66</v>
      </c>
      <c r="H8" s="652" t="s">
        <v>67</v>
      </c>
      <c r="I8" s="652" t="s">
        <v>64</v>
      </c>
      <c r="J8" s="675" t="s">
        <v>65</v>
      </c>
      <c r="K8" s="669" t="s">
        <v>67</v>
      </c>
      <c r="L8" s="652" t="s">
        <v>68</v>
      </c>
      <c r="M8" s="652" t="s">
        <v>64</v>
      </c>
      <c r="N8" s="671" t="s">
        <v>65</v>
      </c>
      <c r="O8" s="669" t="s">
        <v>67</v>
      </c>
      <c r="P8" s="652" t="s">
        <v>69</v>
      </c>
      <c r="Q8" s="652" t="s">
        <v>64</v>
      </c>
      <c r="R8" s="671" t="s">
        <v>65</v>
      </c>
      <c r="S8" s="669" t="s">
        <v>70</v>
      </c>
      <c r="T8" s="652" t="s">
        <v>71</v>
      </c>
      <c r="U8" s="652" t="s">
        <v>64</v>
      </c>
      <c r="V8" s="671" t="s">
        <v>65</v>
      </c>
      <c r="W8" s="669" t="s">
        <v>72</v>
      </c>
      <c r="X8" s="652" t="s">
        <v>73</v>
      </c>
      <c r="Y8" s="652" t="s">
        <v>64</v>
      </c>
      <c r="Z8" s="671" t="s">
        <v>65</v>
      </c>
      <c r="AA8" s="669" t="s">
        <v>74</v>
      </c>
      <c r="AB8" s="652" t="s">
        <v>75</v>
      </c>
      <c r="AC8" s="652" t="s">
        <v>64</v>
      </c>
      <c r="AD8" s="671" t="s">
        <v>65</v>
      </c>
      <c r="AE8" s="669" t="s">
        <v>76</v>
      </c>
      <c r="AF8" s="652" t="s">
        <v>77</v>
      </c>
      <c r="AG8" s="652" t="s">
        <v>78</v>
      </c>
      <c r="AH8" s="652" t="s">
        <v>64</v>
      </c>
      <c r="AI8" s="671" t="s">
        <v>65</v>
      </c>
      <c r="AJ8" s="669" t="s">
        <v>154</v>
      </c>
      <c r="AK8" s="652" t="s">
        <v>155</v>
      </c>
      <c r="AL8" s="652" t="s">
        <v>64</v>
      </c>
      <c r="AM8" s="675" t="s">
        <v>65</v>
      </c>
      <c r="AN8" s="652" t="s">
        <v>79</v>
      </c>
      <c r="AO8" s="652" t="s">
        <v>80</v>
      </c>
      <c r="AP8" s="652" t="s">
        <v>64</v>
      </c>
      <c r="AQ8" s="771" t="s">
        <v>81</v>
      </c>
      <c r="AR8" s="21"/>
      <c r="AS8" s="702" t="s">
        <v>82</v>
      </c>
      <c r="AT8" s="652" t="s">
        <v>82</v>
      </c>
      <c r="AU8" s="652" t="s">
        <v>83</v>
      </c>
      <c r="AV8" s="652" t="s">
        <v>64</v>
      </c>
      <c r="AW8" s="771" t="s">
        <v>65</v>
      </c>
      <c r="AX8" s="652" t="s">
        <v>84</v>
      </c>
      <c r="AY8" s="652" t="s">
        <v>85</v>
      </c>
      <c r="AZ8" s="652"/>
      <c r="BA8" s="652" t="s">
        <v>86</v>
      </c>
      <c r="BB8" s="652" t="s">
        <v>87</v>
      </c>
      <c r="BC8" s="704" t="s">
        <v>88</v>
      </c>
      <c r="BD8" s="704" t="s">
        <v>89</v>
      </c>
      <c r="BE8" s="652" t="s">
        <v>64</v>
      </c>
      <c r="BF8" s="771" t="s">
        <v>65</v>
      </c>
      <c r="BG8" s="21"/>
      <c r="BH8" s="21"/>
      <c r="BI8" s="21"/>
      <c r="BJ8" s="652" t="s">
        <v>90</v>
      </c>
      <c r="BK8" s="652" t="s">
        <v>91</v>
      </c>
      <c r="BL8" s="652" t="s">
        <v>64</v>
      </c>
      <c r="BM8" s="771" t="s">
        <v>65</v>
      </c>
      <c r="BN8" s="652" t="s">
        <v>92</v>
      </c>
      <c r="BO8" s="652" t="s">
        <v>93</v>
      </c>
      <c r="BP8" s="652" t="s">
        <v>94</v>
      </c>
      <c r="BQ8" s="652" t="s">
        <v>64</v>
      </c>
      <c r="BR8" s="771" t="s">
        <v>65</v>
      </c>
      <c r="BS8" s="652" t="s">
        <v>95</v>
      </c>
      <c r="BT8" s="652" t="s">
        <v>64</v>
      </c>
      <c r="BU8" s="771" t="s">
        <v>65</v>
      </c>
      <c r="BV8" s="652" t="s">
        <v>64</v>
      </c>
      <c r="BW8" s="671" t="s">
        <v>65</v>
      </c>
      <c r="BX8" s="766" t="s">
        <v>96</v>
      </c>
      <c r="BY8" s="767"/>
      <c r="BZ8" s="767" t="s">
        <v>156</v>
      </c>
      <c r="CA8" s="767"/>
      <c r="CB8" s="770" t="s">
        <v>97</v>
      </c>
      <c r="CC8" s="769"/>
      <c r="CD8" s="767" t="s">
        <v>151</v>
      </c>
      <c r="CE8" s="767"/>
      <c r="CF8" s="767" t="s">
        <v>161</v>
      </c>
      <c r="CG8" s="767"/>
      <c r="CH8" s="774"/>
      <c r="CI8" s="774"/>
      <c r="CJ8" s="767" t="s">
        <v>98</v>
      </c>
      <c r="CK8" s="767"/>
      <c r="CL8" s="767" t="s">
        <v>105</v>
      </c>
      <c r="CM8" s="768"/>
      <c r="CN8" s="769" t="s">
        <v>99</v>
      </c>
      <c r="CO8" s="767"/>
      <c r="CP8" s="773" t="s">
        <v>152</v>
      </c>
      <c r="CQ8" s="773"/>
      <c r="CR8" s="767" t="s">
        <v>157</v>
      </c>
      <c r="CS8" s="767"/>
      <c r="CT8" s="767" t="s">
        <v>153</v>
      </c>
      <c r="CU8" s="767"/>
      <c r="CV8" s="767" t="s">
        <v>162</v>
      </c>
      <c r="CW8" s="767"/>
      <c r="CX8" s="767" t="s">
        <v>100</v>
      </c>
      <c r="CY8" s="767"/>
      <c r="CZ8" s="767" t="s">
        <v>101</v>
      </c>
      <c r="DA8" s="767"/>
      <c r="DB8" s="767" t="s">
        <v>105</v>
      </c>
      <c r="DC8" s="770"/>
      <c r="DD8" s="766" t="s">
        <v>158</v>
      </c>
      <c r="DE8" s="767"/>
      <c r="DF8" s="767" t="s">
        <v>102</v>
      </c>
      <c r="DG8" s="767"/>
      <c r="DH8" s="767" t="s">
        <v>103</v>
      </c>
      <c r="DI8" s="767"/>
      <c r="DJ8" s="767" t="s">
        <v>159</v>
      </c>
      <c r="DK8" s="767"/>
      <c r="DL8" s="767" t="s">
        <v>104</v>
      </c>
      <c r="DM8" s="767"/>
      <c r="DN8" s="767" t="s">
        <v>105</v>
      </c>
      <c r="DO8" s="768"/>
      <c r="DP8" s="710" t="s">
        <v>64</v>
      </c>
      <c r="DQ8" s="710" t="s">
        <v>65</v>
      </c>
      <c r="DR8" s="669" t="s">
        <v>64</v>
      </c>
      <c r="DS8" s="679" t="s">
        <v>65</v>
      </c>
      <c r="DT8" s="696" t="s">
        <v>64</v>
      </c>
      <c r="DU8" s="692" t="s">
        <v>65</v>
      </c>
      <c r="DV8" s="652" t="s">
        <v>106</v>
      </c>
      <c r="DW8" s="652" t="s">
        <v>64</v>
      </c>
      <c r="DX8" s="679" t="s">
        <v>65</v>
      </c>
      <c r="DY8" s="669" t="s">
        <v>106</v>
      </c>
      <c r="DZ8" s="652" t="s">
        <v>64</v>
      </c>
      <c r="EA8" s="679" t="s">
        <v>65</v>
      </c>
      <c r="EB8" s="696" t="s">
        <v>106</v>
      </c>
      <c r="EC8" s="652" t="s">
        <v>64</v>
      </c>
      <c r="ED8" s="652" t="s">
        <v>65</v>
      </c>
      <c r="EE8" s="652" t="s">
        <v>106</v>
      </c>
      <c r="EF8" s="652" t="s">
        <v>64</v>
      </c>
      <c r="EG8" s="652" t="s">
        <v>65</v>
      </c>
      <c r="EH8" s="652" t="s">
        <v>106</v>
      </c>
      <c r="EI8" s="692" t="s">
        <v>64</v>
      </c>
      <c r="EJ8" s="710" t="s">
        <v>65</v>
      </c>
      <c r="EK8" s="728" t="s">
        <v>106</v>
      </c>
      <c r="EL8" s="718" t="s">
        <v>64</v>
      </c>
      <c r="EM8" s="731" t="s">
        <v>65</v>
      </c>
      <c r="EN8" s="664" t="s">
        <v>64</v>
      </c>
      <c r="EO8" s="666" t="s">
        <v>65</v>
      </c>
      <c r="EP8" s="669" t="s">
        <v>107</v>
      </c>
      <c r="EQ8" s="652" t="s">
        <v>108</v>
      </c>
      <c r="ER8" s="652" t="s">
        <v>109</v>
      </c>
      <c r="ES8" s="679" t="s">
        <v>110</v>
      </c>
    </row>
    <row r="9" spans="1:149" s="11" customFormat="1" ht="96.75" customHeight="1" thickBot="1">
      <c r="A9" s="686"/>
      <c r="B9" s="717"/>
      <c r="C9" s="670"/>
      <c r="D9" s="672"/>
      <c r="E9" s="670"/>
      <c r="F9" s="672"/>
      <c r="G9" s="698"/>
      <c r="H9" s="654"/>
      <c r="I9" s="654"/>
      <c r="J9" s="676"/>
      <c r="K9" s="670"/>
      <c r="L9" s="654"/>
      <c r="M9" s="654"/>
      <c r="N9" s="672"/>
      <c r="O9" s="670"/>
      <c r="P9" s="654"/>
      <c r="Q9" s="654"/>
      <c r="R9" s="672"/>
      <c r="S9" s="670"/>
      <c r="T9" s="654"/>
      <c r="U9" s="654"/>
      <c r="V9" s="672"/>
      <c r="W9" s="670"/>
      <c r="X9" s="654"/>
      <c r="Y9" s="654"/>
      <c r="Z9" s="672"/>
      <c r="AA9" s="670"/>
      <c r="AB9" s="654"/>
      <c r="AC9" s="654"/>
      <c r="AD9" s="672"/>
      <c r="AE9" s="670"/>
      <c r="AF9" s="654"/>
      <c r="AG9" s="654"/>
      <c r="AH9" s="654"/>
      <c r="AI9" s="672"/>
      <c r="AJ9" s="670"/>
      <c r="AK9" s="654"/>
      <c r="AL9" s="654"/>
      <c r="AM9" s="676"/>
      <c r="AN9" s="654"/>
      <c r="AO9" s="654"/>
      <c r="AP9" s="654"/>
      <c r="AQ9" s="772"/>
      <c r="AR9" s="23"/>
      <c r="AS9" s="703"/>
      <c r="AT9" s="654"/>
      <c r="AU9" s="654"/>
      <c r="AV9" s="654"/>
      <c r="AW9" s="772"/>
      <c r="AX9" s="654"/>
      <c r="AY9" s="14" t="s">
        <v>111</v>
      </c>
      <c r="AZ9" s="14" t="s">
        <v>112</v>
      </c>
      <c r="BA9" s="654"/>
      <c r="BB9" s="654"/>
      <c r="BC9" s="775"/>
      <c r="BD9" s="775"/>
      <c r="BE9" s="654"/>
      <c r="BF9" s="772"/>
      <c r="BG9" s="23"/>
      <c r="BH9" s="23"/>
      <c r="BI9" s="23"/>
      <c r="BJ9" s="654"/>
      <c r="BK9" s="654"/>
      <c r="BL9" s="654"/>
      <c r="BM9" s="772"/>
      <c r="BN9" s="654"/>
      <c r="BO9" s="654"/>
      <c r="BP9" s="654"/>
      <c r="BQ9" s="654"/>
      <c r="BR9" s="772"/>
      <c r="BS9" s="654"/>
      <c r="BT9" s="654"/>
      <c r="BU9" s="772"/>
      <c r="BV9" s="654"/>
      <c r="BW9" s="672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711"/>
      <c r="DQ9" s="711"/>
      <c r="DR9" s="670"/>
      <c r="DS9" s="682"/>
      <c r="DT9" s="698"/>
      <c r="DU9" s="694"/>
      <c r="DV9" s="654"/>
      <c r="DW9" s="654"/>
      <c r="DX9" s="682"/>
      <c r="DY9" s="670"/>
      <c r="DZ9" s="654"/>
      <c r="EA9" s="682"/>
      <c r="EB9" s="698"/>
      <c r="EC9" s="654"/>
      <c r="ED9" s="654"/>
      <c r="EE9" s="654"/>
      <c r="EF9" s="654"/>
      <c r="EG9" s="654"/>
      <c r="EH9" s="654"/>
      <c r="EI9" s="694"/>
      <c r="EJ9" s="711"/>
      <c r="EK9" s="729"/>
      <c r="EL9" s="730"/>
      <c r="EM9" s="732"/>
      <c r="EN9" s="665"/>
      <c r="EO9" s="667"/>
      <c r="EP9" s="670"/>
      <c r="EQ9" s="654"/>
      <c r="ER9" s="654"/>
      <c r="ES9" s="682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Z110"/>
  <sheetViews>
    <sheetView showGridLines="0" tabSelected="1" view="pageBreakPreview" zoomScale="60" zoomScaleNormal="90" zoomScalePageLayoutView="0" workbookViewId="0" topLeftCell="A4">
      <pane xSplit="2" ySplit="6" topLeftCell="DO10" activePane="bottomRight" state="frozen"/>
      <selection pane="topLeft" activeCell="K32" sqref="K32"/>
      <selection pane="topRight" activeCell="K32" sqref="K32"/>
      <selection pane="bottomLeft" activeCell="K32" sqref="K32"/>
      <selection pane="bottomRight" activeCell="ET10" sqref="ET10:ET33"/>
    </sheetView>
  </sheetViews>
  <sheetFormatPr defaultColWidth="9.00390625" defaultRowHeight="12.75"/>
  <cols>
    <col min="1" max="1" width="10.00390625" style="138" bestFit="1" customWidth="1"/>
    <col min="2" max="2" width="22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2.75390625" style="3" hidden="1" customWidth="1"/>
    <col min="10" max="10" width="7.625" style="3" hidden="1" customWidth="1"/>
    <col min="11" max="11" width="14.375" style="3" customWidth="1"/>
    <col min="12" max="12" width="15.375" style="3" customWidth="1"/>
    <col min="13" max="13" width="11.25390625" style="3" customWidth="1"/>
    <col min="14" max="14" width="11.75390625" style="3" customWidth="1"/>
    <col min="15" max="16" width="14.875" style="3" customWidth="1"/>
    <col min="17" max="17" width="13.25390625" style="3" customWidth="1"/>
    <col min="18" max="18" width="9.875" style="3" customWidth="1"/>
    <col min="19" max="19" width="17.125" style="3" customWidth="1"/>
    <col min="20" max="20" width="42.375" style="3" hidden="1" customWidth="1"/>
    <col min="21" max="21" width="17.625" style="3" customWidth="1"/>
    <col min="22" max="22" width="13.25390625" style="3" customWidth="1"/>
    <col min="23" max="23" width="10.25390625" style="3" customWidth="1"/>
    <col min="24" max="24" width="20.25390625" style="3" customWidth="1"/>
    <col min="25" max="25" width="16.125" style="3" customWidth="1"/>
    <col min="26" max="26" width="12.25390625" style="3" customWidth="1"/>
    <col min="27" max="27" width="12.125" style="3" customWidth="1"/>
    <col min="28" max="28" width="13.875" style="3" customWidth="1"/>
    <col min="29" max="29" width="15.25390625" style="3" customWidth="1"/>
    <col min="30" max="30" width="17.125" style="3" customWidth="1"/>
    <col min="31" max="31" width="12.25390625" style="3" customWidth="1"/>
    <col min="32" max="32" width="17.125" style="3" customWidth="1"/>
    <col min="33" max="33" width="16.375" style="3" customWidth="1"/>
    <col min="34" max="34" width="19.125" style="3" customWidth="1"/>
    <col min="35" max="35" width="12.375" style="3" customWidth="1"/>
    <col min="36" max="36" width="11.25390625" style="3" customWidth="1"/>
    <col min="37" max="37" width="12.75390625" style="3" customWidth="1"/>
    <col min="38" max="38" width="13.75390625" style="3" customWidth="1"/>
    <col min="39" max="39" width="13.00390625" style="3" customWidth="1"/>
    <col min="40" max="40" width="9.25390625" style="3" customWidth="1"/>
    <col min="41" max="41" width="15.875" style="3" customWidth="1"/>
    <col min="42" max="42" width="14.875" style="3" customWidth="1"/>
    <col min="43" max="43" width="13.875" style="3" customWidth="1"/>
    <col min="44" max="44" width="10.25390625" style="3" customWidth="1"/>
    <col min="45" max="45" width="11.625" style="3" hidden="1" customWidth="1"/>
    <col min="46" max="46" width="15.625" style="3" hidden="1" customWidth="1"/>
    <col min="47" max="47" width="16.125" style="3" customWidth="1"/>
    <col min="48" max="48" width="14.75390625" style="3" customWidth="1"/>
    <col min="49" max="49" width="13.625" style="3" customWidth="1"/>
    <col min="50" max="50" width="9.75390625" style="3" customWidth="1"/>
    <col min="51" max="51" width="18.25390625" style="3" customWidth="1"/>
    <col min="52" max="52" width="16.25390625" style="3" customWidth="1"/>
    <col min="53" max="53" width="18.75390625" style="3" customWidth="1"/>
    <col min="54" max="54" width="15.375" style="3" customWidth="1"/>
    <col min="55" max="55" width="10.375" style="3" customWidth="1"/>
    <col min="56" max="56" width="15.625" style="3" customWidth="1"/>
    <col min="57" max="57" width="14.125" style="3" customWidth="1"/>
    <col min="58" max="58" width="12.625" style="3" customWidth="1"/>
    <col min="59" max="59" width="10.375" style="3" customWidth="1"/>
    <col min="60" max="60" width="0.2421875" style="3" customWidth="1"/>
    <col min="61" max="61" width="10.625" style="3" hidden="1" customWidth="1"/>
    <col min="62" max="62" width="12.375" style="3" hidden="1" customWidth="1"/>
    <col min="63" max="63" width="16.875" style="3" customWidth="1"/>
    <col min="64" max="64" width="17.125" style="3" customWidth="1"/>
    <col min="65" max="65" width="13.75390625" style="3" customWidth="1"/>
    <col min="66" max="66" width="13.25390625" style="3" customWidth="1"/>
    <col min="67" max="68" width="18.125" style="3" customWidth="1"/>
    <col min="69" max="69" width="12.00390625" style="3" customWidth="1"/>
    <col min="70" max="70" width="13.125" style="3" customWidth="1"/>
    <col min="71" max="71" width="10.375" style="3" customWidth="1"/>
    <col min="72" max="72" width="20.625" style="3" customWidth="1"/>
    <col min="73" max="73" width="12.125" style="3" customWidth="1"/>
    <col min="74" max="74" width="9.375" style="3" customWidth="1"/>
    <col min="75" max="75" width="19.25390625" style="3" customWidth="1"/>
    <col min="76" max="76" width="13.125" style="3" customWidth="1"/>
    <col min="77" max="77" width="13.75390625" style="3" customWidth="1"/>
    <col min="78" max="78" width="11.625" style="3" customWidth="1"/>
    <col min="79" max="79" width="14.00390625" style="3" customWidth="1"/>
    <col min="80" max="80" width="11.375" style="3" customWidth="1"/>
    <col min="81" max="81" width="15.625" style="3" customWidth="1"/>
    <col min="82" max="82" width="12.625" style="3" customWidth="1"/>
    <col min="83" max="83" width="10.00390625" style="3" customWidth="1"/>
    <col min="84" max="84" width="9.125" style="3" customWidth="1"/>
    <col min="85" max="85" width="13.75390625" style="3" customWidth="1"/>
    <col min="86" max="86" width="9.375" style="3" customWidth="1"/>
    <col min="87" max="87" width="11.375" style="3" customWidth="1"/>
    <col min="88" max="88" width="12.25390625" style="3" customWidth="1"/>
    <col min="89" max="89" width="15.75390625" style="3" customWidth="1"/>
    <col min="90" max="90" width="12.25390625" style="3" customWidth="1"/>
    <col min="91" max="91" width="17.875" style="3" customWidth="1"/>
    <col min="92" max="92" width="13.625" style="3" customWidth="1"/>
    <col min="93" max="93" width="10.25390625" style="3" customWidth="1"/>
    <col min="94" max="94" width="10.125" style="3" customWidth="1"/>
    <col min="95" max="95" width="13.00390625" style="3" customWidth="1"/>
    <col min="96" max="96" width="11.375" style="3" customWidth="1"/>
    <col min="97" max="97" width="18.125" style="3" customWidth="1"/>
    <col min="98" max="98" width="21.75390625" style="3" customWidth="1"/>
    <col min="99" max="99" width="16.375" style="3" customWidth="1"/>
    <col min="100" max="100" width="16.625" style="3" customWidth="1"/>
    <col min="101" max="101" width="19.375" style="3" customWidth="1"/>
    <col min="102" max="102" width="14.25390625" style="3" customWidth="1"/>
    <col min="103" max="103" width="16.375" style="3" customWidth="1"/>
    <col min="104" max="104" width="15.25390625" style="3" customWidth="1"/>
    <col min="105" max="105" width="16.00390625" style="3" customWidth="1"/>
    <col min="106" max="107" width="14.875" style="3" customWidth="1"/>
    <col min="108" max="108" width="16.625" style="3" customWidth="1"/>
    <col min="109" max="109" width="14.875" style="3" customWidth="1"/>
    <col min="110" max="110" width="13.125" style="3" customWidth="1"/>
    <col min="111" max="111" width="14.375" style="3" customWidth="1"/>
    <col min="112" max="112" width="14.00390625" style="3" customWidth="1"/>
    <col min="113" max="113" width="13.875" style="3" customWidth="1"/>
    <col min="114" max="116" width="15.25390625" style="3" customWidth="1"/>
    <col min="117" max="117" width="13.625" style="3" customWidth="1"/>
    <col min="118" max="118" width="12.875" style="3" customWidth="1"/>
    <col min="119" max="119" width="12.375" style="3" customWidth="1"/>
    <col min="120" max="120" width="9.75390625" style="3" customWidth="1"/>
    <col min="121" max="121" width="12.75390625" style="3" customWidth="1"/>
    <col min="122" max="122" width="9.875" style="3" customWidth="1"/>
    <col min="123" max="123" width="13.25390625" style="3" customWidth="1"/>
    <col min="124" max="124" width="9.875" style="3" customWidth="1"/>
    <col min="125" max="125" width="15.625" style="3" customWidth="1"/>
    <col min="126" max="126" width="12.375" style="3" customWidth="1"/>
    <col min="127" max="127" width="0.12890625" style="3" customWidth="1"/>
    <col min="128" max="128" width="12.125" style="3" customWidth="1"/>
    <col min="129" max="129" width="12.375" style="3" customWidth="1"/>
    <col min="130" max="130" width="16.25390625" style="3" customWidth="1"/>
    <col min="131" max="131" width="12.875" style="3" customWidth="1"/>
    <col min="132" max="132" width="9.375" style="3" customWidth="1"/>
    <col min="133" max="133" width="0.12890625" style="3" customWidth="1"/>
    <col min="134" max="134" width="12.875" style="3" customWidth="1"/>
    <col min="135" max="135" width="9.375" style="3" customWidth="1"/>
    <col min="136" max="136" width="11.00390625" style="3" customWidth="1"/>
    <col min="137" max="137" width="12.625" style="3" customWidth="1"/>
    <col min="138" max="138" width="9.75390625" style="3" customWidth="1"/>
    <col min="139" max="139" width="9.375" style="3" customWidth="1"/>
    <col min="140" max="140" width="12.875" style="3" customWidth="1"/>
    <col min="141" max="141" width="12.625" style="3" customWidth="1"/>
    <col min="142" max="142" width="8.00390625" style="3" customWidth="1"/>
    <col min="143" max="143" width="7.75390625" style="3" customWidth="1"/>
    <col min="144" max="144" width="7.00390625" style="3" customWidth="1"/>
    <col min="145" max="145" width="5.625" style="3" customWidth="1"/>
    <col min="146" max="146" width="14.00390625" style="3" customWidth="1"/>
    <col min="147" max="147" width="11.25390625" style="3" customWidth="1"/>
    <col min="148" max="148" width="17.25390625" style="3" customWidth="1"/>
    <col min="149" max="149" width="10.75390625" style="3" customWidth="1"/>
    <col min="150" max="150" width="14.25390625" style="3" customWidth="1"/>
    <col min="151" max="151" width="16.125" style="3" bestFit="1" customWidth="1"/>
    <col min="152" max="152" width="0.875" style="3" customWidth="1"/>
    <col min="153" max="155" width="9.125" style="3" hidden="1" customWidth="1"/>
    <col min="156" max="16384" width="9.125" style="3" customWidth="1"/>
  </cols>
  <sheetData>
    <row r="1" ht="15.75"/>
    <row r="2" spans="2:147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</row>
    <row r="4" spans="1:150" ht="15.75" customHeight="1" thickTop="1">
      <c r="A4" s="776" t="s">
        <v>1</v>
      </c>
      <c r="B4" s="779" t="s">
        <v>2</v>
      </c>
      <c r="C4" s="782" t="s">
        <v>3</v>
      </c>
      <c r="D4" s="782"/>
      <c r="E4" s="782" t="s">
        <v>4</v>
      </c>
      <c r="F4" s="784"/>
      <c r="G4" s="790" t="s">
        <v>181</v>
      </c>
      <c r="H4" s="790"/>
      <c r="I4" s="790"/>
      <c r="J4" s="790"/>
      <c r="K4" s="790" t="s">
        <v>6</v>
      </c>
      <c r="L4" s="790"/>
      <c r="M4" s="790"/>
      <c r="N4" s="790"/>
      <c r="O4" s="790" t="s">
        <v>7</v>
      </c>
      <c r="P4" s="790"/>
      <c r="Q4" s="790"/>
      <c r="R4" s="790"/>
      <c r="S4" s="790" t="s">
        <v>8</v>
      </c>
      <c r="T4" s="790"/>
      <c r="U4" s="790"/>
      <c r="V4" s="790"/>
      <c r="W4" s="790"/>
      <c r="X4" s="790" t="s">
        <v>9</v>
      </c>
      <c r="Y4" s="790"/>
      <c r="Z4" s="790"/>
      <c r="AA4" s="790"/>
      <c r="AB4" s="790" t="s">
        <v>172</v>
      </c>
      <c r="AC4" s="790"/>
      <c r="AD4" s="790"/>
      <c r="AE4" s="790"/>
      <c r="AF4" s="790" t="s">
        <v>10</v>
      </c>
      <c r="AG4" s="790"/>
      <c r="AH4" s="790"/>
      <c r="AI4" s="790"/>
      <c r="AJ4" s="790"/>
      <c r="AK4" s="790" t="s">
        <v>11</v>
      </c>
      <c r="AL4" s="790"/>
      <c r="AM4" s="790"/>
      <c r="AN4" s="790"/>
      <c r="AO4" s="793" t="s">
        <v>12</v>
      </c>
      <c r="AP4" s="793"/>
      <c r="AQ4" s="793"/>
      <c r="AR4" s="793"/>
      <c r="AS4" s="505"/>
      <c r="AT4" s="505"/>
      <c r="AU4" s="793" t="s">
        <v>13</v>
      </c>
      <c r="AV4" s="793"/>
      <c r="AW4" s="793"/>
      <c r="AX4" s="793"/>
      <c r="AY4" s="793" t="s">
        <v>14</v>
      </c>
      <c r="AZ4" s="793"/>
      <c r="BA4" s="793"/>
      <c r="BB4" s="793"/>
      <c r="BC4" s="793"/>
      <c r="BD4" s="793" t="s">
        <v>15</v>
      </c>
      <c r="BE4" s="793"/>
      <c r="BF4" s="793"/>
      <c r="BG4" s="793"/>
      <c r="BH4" s="434"/>
      <c r="BI4" s="434"/>
      <c r="BJ4" s="434"/>
      <c r="BK4" s="793" t="s">
        <v>16</v>
      </c>
      <c r="BL4" s="793"/>
      <c r="BM4" s="793"/>
      <c r="BN4" s="793"/>
      <c r="BO4" s="793" t="s">
        <v>188</v>
      </c>
      <c r="BP4" s="793"/>
      <c r="BQ4" s="793"/>
      <c r="BR4" s="793"/>
      <c r="BS4" s="793"/>
      <c r="BT4" s="793" t="s">
        <v>173</v>
      </c>
      <c r="BU4" s="793"/>
      <c r="BV4" s="793"/>
      <c r="BW4" s="794" t="s">
        <v>19</v>
      </c>
      <c r="BX4" s="794"/>
      <c r="BY4" s="790" t="s">
        <v>20</v>
      </c>
      <c r="BZ4" s="790"/>
      <c r="CA4" s="790"/>
      <c r="CB4" s="790"/>
      <c r="CC4" s="790"/>
      <c r="CD4" s="790"/>
      <c r="CE4" s="790"/>
      <c r="CF4" s="790"/>
      <c r="CG4" s="790"/>
      <c r="CH4" s="790"/>
      <c r="CI4" s="790"/>
      <c r="CJ4" s="790"/>
      <c r="CK4" s="790"/>
      <c r="CL4" s="790"/>
      <c r="CM4" s="790"/>
      <c r="CN4" s="790"/>
      <c r="CO4" s="790" t="s">
        <v>21</v>
      </c>
      <c r="CP4" s="790"/>
      <c r="CQ4" s="790"/>
      <c r="CR4" s="790"/>
      <c r="CS4" s="790"/>
      <c r="CT4" s="790"/>
      <c r="CU4" s="790"/>
      <c r="CV4" s="790"/>
      <c r="CW4" s="790"/>
      <c r="CX4" s="790"/>
      <c r="CY4" s="790"/>
      <c r="CZ4" s="790"/>
      <c r="DA4" s="790"/>
      <c r="DB4" s="790"/>
      <c r="DC4" s="790"/>
      <c r="DD4" s="790"/>
      <c r="DE4" s="790" t="s">
        <v>22</v>
      </c>
      <c r="DF4" s="790"/>
      <c r="DG4" s="790"/>
      <c r="DH4" s="790"/>
      <c r="DI4" s="790"/>
      <c r="DJ4" s="790"/>
      <c r="DK4" s="790"/>
      <c r="DL4" s="790"/>
      <c r="DM4" s="790"/>
      <c r="DN4" s="790"/>
      <c r="DO4" s="790"/>
      <c r="DP4" s="790"/>
      <c r="DQ4" s="782" t="s">
        <v>23</v>
      </c>
      <c r="DR4" s="782"/>
      <c r="DS4" s="782" t="s">
        <v>24</v>
      </c>
      <c r="DT4" s="782"/>
      <c r="DU4" s="782" t="s">
        <v>25</v>
      </c>
      <c r="DV4" s="782"/>
      <c r="DW4" s="782" t="s">
        <v>26</v>
      </c>
      <c r="DX4" s="782"/>
      <c r="DY4" s="782"/>
      <c r="DZ4" s="782" t="s">
        <v>27</v>
      </c>
      <c r="EA4" s="782"/>
      <c r="EB4" s="782"/>
      <c r="EC4" s="782" t="s">
        <v>28</v>
      </c>
      <c r="ED4" s="782"/>
      <c r="EE4" s="782"/>
      <c r="EF4" s="782" t="s">
        <v>29</v>
      </c>
      <c r="EG4" s="782"/>
      <c r="EH4" s="782"/>
      <c r="EI4" s="782" t="s">
        <v>30</v>
      </c>
      <c r="EJ4" s="782"/>
      <c r="EK4" s="782"/>
      <c r="EL4" s="782" t="s">
        <v>31</v>
      </c>
      <c r="EM4" s="782"/>
      <c r="EN4" s="782"/>
      <c r="EO4" s="782" t="s">
        <v>160</v>
      </c>
      <c r="EP4" s="782"/>
      <c r="EQ4" s="782"/>
      <c r="ER4" s="796" t="s">
        <v>32</v>
      </c>
      <c r="ES4" s="796"/>
      <c r="ET4" s="797"/>
    </row>
    <row r="5" spans="1:150" s="11" customFormat="1" ht="15.75">
      <c r="A5" s="777"/>
      <c r="B5" s="780"/>
      <c r="C5" s="783"/>
      <c r="D5" s="783"/>
      <c r="E5" s="785"/>
      <c r="F5" s="785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791"/>
      <c r="AI5" s="791"/>
      <c r="AJ5" s="791"/>
      <c r="AK5" s="791"/>
      <c r="AL5" s="791"/>
      <c r="AM5" s="791"/>
      <c r="AN5" s="791"/>
      <c r="AO5" s="792"/>
      <c r="AP5" s="792"/>
      <c r="AQ5" s="792"/>
      <c r="AR5" s="792"/>
      <c r="AS5" s="506"/>
      <c r="AT5" s="506"/>
      <c r="AU5" s="792"/>
      <c r="AV5" s="792"/>
      <c r="AW5" s="792"/>
      <c r="AX5" s="792"/>
      <c r="AY5" s="792"/>
      <c r="AZ5" s="792"/>
      <c r="BA5" s="792"/>
      <c r="BB5" s="792"/>
      <c r="BC5" s="792"/>
      <c r="BD5" s="792"/>
      <c r="BE5" s="792"/>
      <c r="BF5" s="792"/>
      <c r="BG5" s="792"/>
      <c r="BH5" s="435"/>
      <c r="BI5" s="435"/>
      <c r="BJ5" s="435"/>
      <c r="BK5" s="792"/>
      <c r="BL5" s="792"/>
      <c r="BM5" s="792"/>
      <c r="BN5" s="792"/>
      <c r="BO5" s="792"/>
      <c r="BP5" s="792"/>
      <c r="BQ5" s="792"/>
      <c r="BR5" s="792"/>
      <c r="BS5" s="792"/>
      <c r="BT5" s="792"/>
      <c r="BU5" s="792"/>
      <c r="BV5" s="792"/>
      <c r="BW5" s="795"/>
      <c r="BX5" s="795"/>
      <c r="BY5" s="791"/>
      <c r="BZ5" s="791"/>
      <c r="CA5" s="791"/>
      <c r="CB5" s="791"/>
      <c r="CC5" s="791"/>
      <c r="CD5" s="791"/>
      <c r="CE5" s="791"/>
      <c r="CF5" s="791"/>
      <c r="CG5" s="791"/>
      <c r="CH5" s="791"/>
      <c r="CI5" s="791"/>
      <c r="CJ5" s="791"/>
      <c r="CK5" s="791"/>
      <c r="CL5" s="791"/>
      <c r="CM5" s="791"/>
      <c r="CN5" s="791"/>
      <c r="CO5" s="791"/>
      <c r="CP5" s="791"/>
      <c r="CQ5" s="791"/>
      <c r="CR5" s="791"/>
      <c r="CS5" s="791"/>
      <c r="CT5" s="791"/>
      <c r="CU5" s="791"/>
      <c r="CV5" s="791"/>
      <c r="CW5" s="791"/>
      <c r="CX5" s="791"/>
      <c r="CY5" s="791"/>
      <c r="CZ5" s="791"/>
      <c r="DA5" s="791"/>
      <c r="DB5" s="791"/>
      <c r="DC5" s="791"/>
      <c r="DD5" s="791"/>
      <c r="DE5" s="791"/>
      <c r="DF5" s="791"/>
      <c r="DG5" s="791"/>
      <c r="DH5" s="791"/>
      <c r="DI5" s="791"/>
      <c r="DJ5" s="791"/>
      <c r="DK5" s="791"/>
      <c r="DL5" s="791"/>
      <c r="DM5" s="791"/>
      <c r="DN5" s="791"/>
      <c r="DO5" s="791"/>
      <c r="DP5" s="791"/>
      <c r="DQ5" s="783"/>
      <c r="DR5" s="783"/>
      <c r="DS5" s="783"/>
      <c r="DT5" s="783"/>
      <c r="DU5" s="783"/>
      <c r="DV5" s="783"/>
      <c r="DW5" s="783"/>
      <c r="DX5" s="783"/>
      <c r="DY5" s="783"/>
      <c r="DZ5" s="783"/>
      <c r="EA5" s="783"/>
      <c r="EB5" s="783"/>
      <c r="EC5" s="783"/>
      <c r="ED5" s="783"/>
      <c r="EE5" s="783"/>
      <c r="EF5" s="783"/>
      <c r="EG5" s="783"/>
      <c r="EH5" s="783"/>
      <c r="EI5" s="783"/>
      <c r="EJ5" s="783"/>
      <c r="EK5" s="783"/>
      <c r="EL5" s="783"/>
      <c r="EM5" s="783"/>
      <c r="EN5" s="783"/>
      <c r="EO5" s="783"/>
      <c r="EP5" s="783"/>
      <c r="EQ5" s="783"/>
      <c r="ER5" s="786"/>
      <c r="ES5" s="786"/>
      <c r="ET5" s="798"/>
    </row>
    <row r="6" spans="1:150" s="16" customFormat="1" ht="111" customHeight="1">
      <c r="A6" s="777"/>
      <c r="B6" s="780"/>
      <c r="C6" s="783"/>
      <c r="D6" s="783"/>
      <c r="E6" s="785"/>
      <c r="F6" s="785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2"/>
      <c r="AP6" s="792"/>
      <c r="AQ6" s="792"/>
      <c r="AR6" s="792"/>
      <c r="AS6" s="506"/>
      <c r="AT6" s="506"/>
      <c r="AU6" s="792"/>
      <c r="AV6" s="792"/>
      <c r="AW6" s="792"/>
      <c r="AX6" s="792"/>
      <c r="AY6" s="792"/>
      <c r="AZ6" s="792"/>
      <c r="BA6" s="792"/>
      <c r="BB6" s="792"/>
      <c r="BC6" s="792"/>
      <c r="BD6" s="792"/>
      <c r="BE6" s="792"/>
      <c r="BF6" s="792"/>
      <c r="BG6" s="792"/>
      <c r="BH6" s="435"/>
      <c r="BI6" s="435"/>
      <c r="BJ6" s="435"/>
      <c r="BK6" s="792"/>
      <c r="BL6" s="792"/>
      <c r="BM6" s="792"/>
      <c r="BN6" s="792"/>
      <c r="BO6" s="792"/>
      <c r="BP6" s="792"/>
      <c r="BQ6" s="792"/>
      <c r="BR6" s="792"/>
      <c r="BS6" s="792"/>
      <c r="BT6" s="792"/>
      <c r="BU6" s="792"/>
      <c r="BV6" s="792"/>
      <c r="BW6" s="795"/>
      <c r="BX6" s="795"/>
      <c r="BY6" s="791"/>
      <c r="BZ6" s="791"/>
      <c r="CA6" s="791"/>
      <c r="CB6" s="791"/>
      <c r="CC6" s="791"/>
      <c r="CD6" s="791"/>
      <c r="CE6" s="791"/>
      <c r="CF6" s="791"/>
      <c r="CG6" s="791"/>
      <c r="CH6" s="791"/>
      <c r="CI6" s="791"/>
      <c r="CJ6" s="791"/>
      <c r="CK6" s="791"/>
      <c r="CL6" s="791"/>
      <c r="CM6" s="791"/>
      <c r="CN6" s="791"/>
      <c r="CO6" s="791"/>
      <c r="CP6" s="791"/>
      <c r="CQ6" s="791"/>
      <c r="CR6" s="791"/>
      <c r="CS6" s="791"/>
      <c r="CT6" s="791"/>
      <c r="CU6" s="791"/>
      <c r="CV6" s="791"/>
      <c r="CW6" s="791"/>
      <c r="CX6" s="791"/>
      <c r="CY6" s="791"/>
      <c r="CZ6" s="791"/>
      <c r="DA6" s="791"/>
      <c r="DB6" s="791"/>
      <c r="DC6" s="791"/>
      <c r="DD6" s="791"/>
      <c r="DE6" s="791"/>
      <c r="DF6" s="791"/>
      <c r="DG6" s="791"/>
      <c r="DH6" s="791"/>
      <c r="DI6" s="791"/>
      <c r="DJ6" s="791"/>
      <c r="DK6" s="791"/>
      <c r="DL6" s="791"/>
      <c r="DM6" s="791"/>
      <c r="DN6" s="791"/>
      <c r="DO6" s="791"/>
      <c r="DP6" s="791"/>
      <c r="DQ6" s="783"/>
      <c r="DR6" s="783"/>
      <c r="DS6" s="783"/>
      <c r="DT6" s="783"/>
      <c r="DU6" s="783"/>
      <c r="DV6" s="783"/>
      <c r="DW6" s="783"/>
      <c r="DX6" s="783"/>
      <c r="DY6" s="783"/>
      <c r="DZ6" s="783"/>
      <c r="EA6" s="783"/>
      <c r="EB6" s="783"/>
      <c r="EC6" s="783"/>
      <c r="ED6" s="783"/>
      <c r="EE6" s="783"/>
      <c r="EF6" s="783"/>
      <c r="EG6" s="783"/>
      <c r="EH6" s="783"/>
      <c r="EI6" s="783"/>
      <c r="EJ6" s="783"/>
      <c r="EK6" s="783"/>
      <c r="EL6" s="783"/>
      <c r="EM6" s="783"/>
      <c r="EN6" s="783"/>
      <c r="EO6" s="783"/>
      <c r="EP6" s="783"/>
      <c r="EQ6" s="783"/>
      <c r="ER6" s="786"/>
      <c r="ES6" s="786"/>
      <c r="ET6" s="798"/>
    </row>
    <row r="7" spans="1:150" s="16" customFormat="1" ht="15.75">
      <c r="A7" s="777"/>
      <c r="B7" s="780"/>
      <c r="C7" s="786" t="s">
        <v>33</v>
      </c>
      <c r="D7" s="786"/>
      <c r="E7" s="786" t="s">
        <v>34</v>
      </c>
      <c r="F7" s="786"/>
      <c r="G7" s="786" t="s">
        <v>35</v>
      </c>
      <c r="H7" s="786"/>
      <c r="I7" s="786"/>
      <c r="J7" s="786"/>
      <c r="K7" s="792" t="s">
        <v>36</v>
      </c>
      <c r="L7" s="792"/>
      <c r="M7" s="792"/>
      <c r="N7" s="792"/>
      <c r="O7" s="792" t="s">
        <v>37</v>
      </c>
      <c r="P7" s="792"/>
      <c r="Q7" s="792"/>
      <c r="R7" s="792"/>
      <c r="S7" s="792" t="s">
        <v>38</v>
      </c>
      <c r="T7" s="792"/>
      <c r="U7" s="792"/>
      <c r="V7" s="792"/>
      <c r="W7" s="792"/>
      <c r="X7" s="792" t="s">
        <v>39</v>
      </c>
      <c r="Y7" s="792"/>
      <c r="Z7" s="792"/>
      <c r="AA7" s="792"/>
      <c r="AB7" s="792" t="s">
        <v>40</v>
      </c>
      <c r="AC7" s="792"/>
      <c r="AD7" s="792"/>
      <c r="AE7" s="792"/>
      <c r="AF7" s="792" t="s">
        <v>41</v>
      </c>
      <c r="AG7" s="792"/>
      <c r="AH7" s="792"/>
      <c r="AI7" s="792"/>
      <c r="AJ7" s="792"/>
      <c r="AK7" s="792" t="s">
        <v>42</v>
      </c>
      <c r="AL7" s="792"/>
      <c r="AM7" s="792"/>
      <c r="AN7" s="792"/>
      <c r="AO7" s="792" t="s">
        <v>43</v>
      </c>
      <c r="AP7" s="792"/>
      <c r="AQ7" s="792"/>
      <c r="AR7" s="792"/>
      <c r="AS7" s="582"/>
      <c r="AT7" s="582"/>
      <c r="AU7" s="792" t="s">
        <v>44</v>
      </c>
      <c r="AV7" s="792"/>
      <c r="AW7" s="792"/>
      <c r="AX7" s="792"/>
      <c r="AY7" s="792" t="s">
        <v>45</v>
      </c>
      <c r="AZ7" s="792"/>
      <c r="BA7" s="792"/>
      <c r="BB7" s="792"/>
      <c r="BC7" s="792"/>
      <c r="BD7" s="792" t="s">
        <v>46</v>
      </c>
      <c r="BE7" s="792"/>
      <c r="BF7" s="792"/>
      <c r="BG7" s="792"/>
      <c r="BH7" s="582"/>
      <c r="BI7" s="582"/>
      <c r="BJ7" s="582"/>
      <c r="BK7" s="792" t="s">
        <v>47</v>
      </c>
      <c r="BL7" s="792"/>
      <c r="BM7" s="792"/>
      <c r="BN7" s="792"/>
      <c r="BO7" s="792" t="s">
        <v>48</v>
      </c>
      <c r="BP7" s="792"/>
      <c r="BQ7" s="792"/>
      <c r="BR7" s="792"/>
      <c r="BS7" s="792"/>
      <c r="BT7" s="792" t="s">
        <v>49</v>
      </c>
      <c r="BU7" s="792"/>
      <c r="BV7" s="792"/>
      <c r="BW7" s="786" t="s">
        <v>50</v>
      </c>
      <c r="BX7" s="786"/>
      <c r="BY7" s="786" t="s">
        <v>51</v>
      </c>
      <c r="BZ7" s="786"/>
      <c r="CA7" s="786"/>
      <c r="CB7" s="786"/>
      <c r="CC7" s="786"/>
      <c r="CD7" s="786"/>
      <c r="CE7" s="786"/>
      <c r="CF7" s="786"/>
      <c r="CG7" s="786"/>
      <c r="CH7" s="786"/>
      <c r="CI7" s="786"/>
      <c r="CJ7" s="786"/>
      <c r="CK7" s="786"/>
      <c r="CL7" s="786"/>
      <c r="CM7" s="786"/>
      <c r="CN7" s="786"/>
      <c r="CO7" s="786" t="s">
        <v>52</v>
      </c>
      <c r="CP7" s="786"/>
      <c r="CQ7" s="786"/>
      <c r="CR7" s="786"/>
      <c r="CS7" s="786"/>
      <c r="CT7" s="786"/>
      <c r="CU7" s="786"/>
      <c r="CV7" s="786"/>
      <c r="CW7" s="786"/>
      <c r="CX7" s="786"/>
      <c r="CY7" s="786"/>
      <c r="CZ7" s="786"/>
      <c r="DA7" s="786"/>
      <c r="DB7" s="786"/>
      <c r="DC7" s="786"/>
      <c r="DD7" s="786"/>
      <c r="DE7" s="786" t="s">
        <v>53</v>
      </c>
      <c r="DF7" s="786"/>
      <c r="DG7" s="786"/>
      <c r="DH7" s="786"/>
      <c r="DI7" s="786"/>
      <c r="DJ7" s="786"/>
      <c r="DK7" s="786"/>
      <c r="DL7" s="786"/>
      <c r="DM7" s="786"/>
      <c r="DN7" s="786"/>
      <c r="DO7" s="786"/>
      <c r="DP7" s="786"/>
      <c r="DQ7" s="786" t="s">
        <v>54</v>
      </c>
      <c r="DR7" s="786"/>
      <c r="DS7" s="786" t="s">
        <v>55</v>
      </c>
      <c r="DT7" s="786"/>
      <c r="DU7" s="786" t="s">
        <v>56</v>
      </c>
      <c r="DV7" s="786"/>
      <c r="DW7" s="786" t="s">
        <v>57</v>
      </c>
      <c r="DX7" s="786"/>
      <c r="DY7" s="786"/>
      <c r="DZ7" s="786" t="s">
        <v>58</v>
      </c>
      <c r="EA7" s="786"/>
      <c r="EB7" s="786"/>
      <c r="EC7" s="786" t="s">
        <v>59</v>
      </c>
      <c r="ED7" s="786"/>
      <c r="EE7" s="786"/>
      <c r="EF7" s="786" t="s">
        <v>60</v>
      </c>
      <c r="EG7" s="786"/>
      <c r="EH7" s="786"/>
      <c r="EI7" s="786" t="s">
        <v>61</v>
      </c>
      <c r="EJ7" s="786"/>
      <c r="EK7" s="786"/>
      <c r="EL7" s="786" t="s">
        <v>63</v>
      </c>
      <c r="EM7" s="786"/>
      <c r="EN7" s="786"/>
      <c r="EO7" s="786" t="s">
        <v>62</v>
      </c>
      <c r="EP7" s="786"/>
      <c r="EQ7" s="786"/>
      <c r="ER7" s="786"/>
      <c r="ES7" s="786"/>
      <c r="ET7" s="798"/>
    </row>
    <row r="8" spans="1:155" s="16" customFormat="1" ht="79.5" customHeight="1">
      <c r="A8" s="777"/>
      <c r="B8" s="780"/>
      <c r="C8" s="786" t="s">
        <v>64</v>
      </c>
      <c r="D8" s="788" t="s">
        <v>65</v>
      </c>
      <c r="E8" s="786" t="s">
        <v>64</v>
      </c>
      <c r="F8" s="788" t="s">
        <v>65</v>
      </c>
      <c r="G8" s="786" t="s">
        <v>66</v>
      </c>
      <c r="H8" s="786" t="s">
        <v>67</v>
      </c>
      <c r="I8" s="786" t="s">
        <v>64</v>
      </c>
      <c r="J8" s="788" t="s">
        <v>65</v>
      </c>
      <c r="K8" s="786" t="s">
        <v>67</v>
      </c>
      <c r="L8" s="786" t="s">
        <v>68</v>
      </c>
      <c r="M8" s="786" t="s">
        <v>64</v>
      </c>
      <c r="N8" s="788" t="s">
        <v>65</v>
      </c>
      <c r="O8" s="786" t="s">
        <v>67</v>
      </c>
      <c r="P8" s="786" t="s">
        <v>69</v>
      </c>
      <c r="Q8" s="786" t="s">
        <v>64</v>
      </c>
      <c r="R8" s="788" t="s">
        <v>65</v>
      </c>
      <c r="S8" s="786" t="s">
        <v>70</v>
      </c>
      <c r="T8" s="786" t="s">
        <v>182</v>
      </c>
      <c r="U8" s="786" t="s">
        <v>186</v>
      </c>
      <c r="V8" s="786" t="s">
        <v>64</v>
      </c>
      <c r="W8" s="788" t="s">
        <v>65</v>
      </c>
      <c r="X8" s="786" t="s">
        <v>72</v>
      </c>
      <c r="Y8" s="786" t="s">
        <v>73</v>
      </c>
      <c r="Z8" s="786" t="s">
        <v>64</v>
      </c>
      <c r="AA8" s="788" t="s">
        <v>65</v>
      </c>
      <c r="AB8" s="786" t="s">
        <v>74</v>
      </c>
      <c r="AC8" s="786" t="s">
        <v>75</v>
      </c>
      <c r="AD8" s="786" t="s">
        <v>64</v>
      </c>
      <c r="AE8" s="788" t="s">
        <v>65</v>
      </c>
      <c r="AF8" s="786" t="s">
        <v>76</v>
      </c>
      <c r="AG8" s="786" t="s">
        <v>77</v>
      </c>
      <c r="AH8" s="786" t="s">
        <v>78</v>
      </c>
      <c r="AI8" s="786" t="s">
        <v>64</v>
      </c>
      <c r="AJ8" s="788" t="s">
        <v>65</v>
      </c>
      <c r="AK8" s="786" t="s">
        <v>192</v>
      </c>
      <c r="AL8" s="786" t="s">
        <v>193</v>
      </c>
      <c r="AM8" s="786" t="s">
        <v>64</v>
      </c>
      <c r="AN8" s="788" t="s">
        <v>65</v>
      </c>
      <c r="AO8" s="786" t="s">
        <v>79</v>
      </c>
      <c r="AP8" s="786" t="s">
        <v>80</v>
      </c>
      <c r="AQ8" s="786" t="s">
        <v>64</v>
      </c>
      <c r="AR8" s="788" t="s">
        <v>81</v>
      </c>
      <c r="AS8" s="435"/>
      <c r="AT8" s="786" t="s">
        <v>82</v>
      </c>
      <c r="AU8" s="786" t="s">
        <v>82</v>
      </c>
      <c r="AV8" s="786" t="s">
        <v>83</v>
      </c>
      <c r="AW8" s="786" t="s">
        <v>64</v>
      </c>
      <c r="AX8" s="788" t="s">
        <v>65</v>
      </c>
      <c r="AY8" s="786" t="s">
        <v>84</v>
      </c>
      <c r="AZ8" s="786" t="s">
        <v>85</v>
      </c>
      <c r="BA8" s="786"/>
      <c r="BB8" s="786" t="s">
        <v>86</v>
      </c>
      <c r="BC8" s="786" t="s">
        <v>87</v>
      </c>
      <c r="BD8" s="786" t="s">
        <v>88</v>
      </c>
      <c r="BE8" s="786" t="s">
        <v>89</v>
      </c>
      <c r="BF8" s="786" t="s">
        <v>64</v>
      </c>
      <c r="BG8" s="788" t="s">
        <v>65</v>
      </c>
      <c r="BH8" s="436"/>
      <c r="BI8" s="436"/>
      <c r="BJ8" s="436"/>
      <c r="BK8" s="786" t="s">
        <v>90</v>
      </c>
      <c r="BL8" s="786" t="s">
        <v>91</v>
      </c>
      <c r="BM8" s="786" t="s">
        <v>64</v>
      </c>
      <c r="BN8" s="788" t="s">
        <v>65</v>
      </c>
      <c r="BO8" s="786" t="s">
        <v>92</v>
      </c>
      <c r="BP8" s="786" t="s">
        <v>93</v>
      </c>
      <c r="BQ8" s="786" t="s">
        <v>94</v>
      </c>
      <c r="BR8" s="786" t="s">
        <v>64</v>
      </c>
      <c r="BS8" s="788" t="s">
        <v>65</v>
      </c>
      <c r="BT8" s="786" t="s">
        <v>174</v>
      </c>
      <c r="BU8" s="786" t="s">
        <v>64</v>
      </c>
      <c r="BV8" s="788" t="s">
        <v>65</v>
      </c>
      <c r="BW8" s="786" t="s">
        <v>64</v>
      </c>
      <c r="BX8" s="801" t="s">
        <v>65</v>
      </c>
      <c r="BY8" s="795" t="s">
        <v>96</v>
      </c>
      <c r="BZ8" s="795"/>
      <c r="CA8" s="803" t="s">
        <v>176</v>
      </c>
      <c r="CB8" s="803"/>
      <c r="CC8" s="803" t="s">
        <v>97</v>
      </c>
      <c r="CD8" s="803"/>
      <c r="CE8" s="792" t="s">
        <v>179</v>
      </c>
      <c r="CF8" s="792"/>
      <c r="CG8" s="792" t="s">
        <v>190</v>
      </c>
      <c r="CH8" s="792"/>
      <c r="CI8" s="792" t="s">
        <v>180</v>
      </c>
      <c r="CJ8" s="792"/>
      <c r="CK8" s="792" t="s">
        <v>98</v>
      </c>
      <c r="CL8" s="792"/>
      <c r="CM8" s="786" t="s">
        <v>105</v>
      </c>
      <c r="CN8" s="786"/>
      <c r="CO8" s="786" t="s">
        <v>175</v>
      </c>
      <c r="CP8" s="786"/>
      <c r="CQ8" s="804" t="s">
        <v>194</v>
      </c>
      <c r="CR8" s="804"/>
      <c r="CS8" s="786" t="s">
        <v>157</v>
      </c>
      <c r="CT8" s="786"/>
      <c r="CU8" s="786" t="s">
        <v>153</v>
      </c>
      <c r="CV8" s="786"/>
      <c r="CW8" s="786" t="s">
        <v>162</v>
      </c>
      <c r="CX8" s="786"/>
      <c r="CY8" s="795" t="s">
        <v>177</v>
      </c>
      <c r="CZ8" s="795"/>
      <c r="DA8" s="786" t="s">
        <v>178</v>
      </c>
      <c r="DB8" s="786"/>
      <c r="DC8" s="786" t="s">
        <v>105</v>
      </c>
      <c r="DD8" s="786"/>
      <c r="DE8" s="803" t="s">
        <v>158</v>
      </c>
      <c r="DF8" s="803"/>
      <c r="DG8" s="803" t="s">
        <v>102</v>
      </c>
      <c r="DH8" s="803"/>
      <c r="DI8" s="792" t="s">
        <v>103</v>
      </c>
      <c r="DJ8" s="792"/>
      <c r="DK8" s="805" t="s">
        <v>183</v>
      </c>
      <c r="DL8" s="805"/>
      <c r="DM8" s="805" t="s">
        <v>104</v>
      </c>
      <c r="DN8" s="805"/>
      <c r="DO8" s="786" t="s">
        <v>105</v>
      </c>
      <c r="DP8" s="786"/>
      <c r="DQ8" s="786" t="s">
        <v>64</v>
      </c>
      <c r="DR8" s="788" t="s">
        <v>65</v>
      </c>
      <c r="DS8" s="786" t="s">
        <v>64</v>
      </c>
      <c r="DT8" s="788" t="s">
        <v>65</v>
      </c>
      <c r="DU8" s="786" t="s">
        <v>64</v>
      </c>
      <c r="DV8" s="786" t="s">
        <v>65</v>
      </c>
      <c r="DW8" s="786" t="s">
        <v>106</v>
      </c>
      <c r="DX8" s="786" t="s">
        <v>64</v>
      </c>
      <c r="DY8" s="786" t="s">
        <v>65</v>
      </c>
      <c r="DZ8" s="786" t="s">
        <v>106</v>
      </c>
      <c r="EA8" s="786" t="s">
        <v>64</v>
      </c>
      <c r="EB8" s="786" t="s">
        <v>65</v>
      </c>
      <c r="EC8" s="786" t="s">
        <v>106</v>
      </c>
      <c r="ED8" s="786" t="s">
        <v>64</v>
      </c>
      <c r="EE8" s="786" t="s">
        <v>65</v>
      </c>
      <c r="EF8" s="786" t="s">
        <v>106</v>
      </c>
      <c r="EG8" s="786" t="s">
        <v>64</v>
      </c>
      <c r="EH8" s="786" t="s">
        <v>65</v>
      </c>
      <c r="EI8" s="786" t="s">
        <v>106</v>
      </c>
      <c r="EJ8" s="786" t="s">
        <v>64</v>
      </c>
      <c r="EK8" s="786" t="s">
        <v>65</v>
      </c>
      <c r="EL8" s="786" t="s">
        <v>106</v>
      </c>
      <c r="EM8" s="786" t="s">
        <v>64</v>
      </c>
      <c r="EN8" s="786" t="s">
        <v>65</v>
      </c>
      <c r="EO8" s="786" t="s">
        <v>64</v>
      </c>
      <c r="EP8" s="435"/>
      <c r="EQ8" s="786" t="s">
        <v>65</v>
      </c>
      <c r="ER8" s="786" t="s">
        <v>107</v>
      </c>
      <c r="ES8" s="786" t="s">
        <v>108</v>
      </c>
      <c r="ET8" s="798" t="s">
        <v>110</v>
      </c>
      <c r="EV8" s="16" t="s">
        <v>107</v>
      </c>
      <c r="EW8" s="16" t="s">
        <v>108</v>
      </c>
      <c r="EX8" s="16" t="s">
        <v>109</v>
      </c>
      <c r="EY8" s="16" t="s">
        <v>110</v>
      </c>
    </row>
    <row r="9" spans="1:150" s="11" customFormat="1" ht="114" customHeight="1" thickBot="1">
      <c r="A9" s="778"/>
      <c r="B9" s="781"/>
      <c r="C9" s="787"/>
      <c r="D9" s="789"/>
      <c r="E9" s="787"/>
      <c r="F9" s="789"/>
      <c r="G9" s="787"/>
      <c r="H9" s="787"/>
      <c r="I9" s="787"/>
      <c r="J9" s="789"/>
      <c r="K9" s="787"/>
      <c r="L9" s="787"/>
      <c r="M9" s="787"/>
      <c r="N9" s="789"/>
      <c r="O9" s="787"/>
      <c r="P9" s="787"/>
      <c r="Q9" s="799"/>
      <c r="R9" s="789"/>
      <c r="S9" s="787"/>
      <c r="T9" s="799"/>
      <c r="U9" s="787"/>
      <c r="V9" s="787"/>
      <c r="W9" s="800"/>
      <c r="X9" s="799"/>
      <c r="Y9" s="787"/>
      <c r="Z9" s="787"/>
      <c r="AA9" s="800"/>
      <c r="AB9" s="787"/>
      <c r="AC9" s="787"/>
      <c r="AD9" s="787"/>
      <c r="AE9" s="800"/>
      <c r="AF9" s="787"/>
      <c r="AG9" s="787"/>
      <c r="AH9" s="787"/>
      <c r="AI9" s="799"/>
      <c r="AJ9" s="789"/>
      <c r="AK9" s="806"/>
      <c r="AL9" s="806"/>
      <c r="AM9" s="787"/>
      <c r="AN9" s="800"/>
      <c r="AO9" s="799"/>
      <c r="AP9" s="787"/>
      <c r="AQ9" s="799"/>
      <c r="AR9" s="789"/>
      <c r="AS9" s="437"/>
      <c r="AT9" s="787"/>
      <c r="AU9" s="787"/>
      <c r="AV9" s="787"/>
      <c r="AW9" s="787"/>
      <c r="AX9" s="789"/>
      <c r="AY9" s="787"/>
      <c r="AZ9" s="437" t="s">
        <v>111</v>
      </c>
      <c r="BA9" s="437" t="s">
        <v>112</v>
      </c>
      <c r="BB9" s="799"/>
      <c r="BC9" s="787"/>
      <c r="BD9" s="787"/>
      <c r="BE9" s="799"/>
      <c r="BF9" s="787"/>
      <c r="BG9" s="789"/>
      <c r="BH9" s="503"/>
      <c r="BI9" s="438"/>
      <c r="BJ9" s="438"/>
      <c r="BK9" s="787"/>
      <c r="BL9" s="799"/>
      <c r="BM9" s="799"/>
      <c r="BN9" s="789"/>
      <c r="BO9" s="799"/>
      <c r="BP9" s="799"/>
      <c r="BQ9" s="799"/>
      <c r="BR9" s="787"/>
      <c r="BS9" s="801"/>
      <c r="BT9" s="787"/>
      <c r="BU9" s="799"/>
      <c r="BV9" s="789"/>
      <c r="BW9" s="799"/>
      <c r="BX9" s="802"/>
      <c r="BY9" s="504" t="s">
        <v>113</v>
      </c>
      <c r="BZ9" s="504" t="s">
        <v>65</v>
      </c>
      <c r="CA9" s="437" t="s">
        <v>113</v>
      </c>
      <c r="CB9" s="494" t="s">
        <v>65</v>
      </c>
      <c r="CC9" s="437" t="s">
        <v>113</v>
      </c>
      <c r="CD9" s="494" t="s">
        <v>65</v>
      </c>
      <c r="CE9" s="437" t="s">
        <v>113</v>
      </c>
      <c r="CF9" s="437" t="s">
        <v>65</v>
      </c>
      <c r="CG9" s="437" t="s">
        <v>113</v>
      </c>
      <c r="CH9" s="437" t="s">
        <v>65</v>
      </c>
      <c r="CI9" s="437" t="s">
        <v>113</v>
      </c>
      <c r="CJ9" s="437" t="s">
        <v>65</v>
      </c>
      <c r="CK9" s="437" t="s">
        <v>113</v>
      </c>
      <c r="CL9" s="504" t="s">
        <v>65</v>
      </c>
      <c r="CM9" s="494" t="s">
        <v>64</v>
      </c>
      <c r="CN9" s="438" t="s">
        <v>65</v>
      </c>
      <c r="CO9" s="437" t="s">
        <v>114</v>
      </c>
      <c r="CP9" s="437" t="s">
        <v>65</v>
      </c>
      <c r="CQ9" s="437" t="s">
        <v>114</v>
      </c>
      <c r="CR9" s="437" t="s">
        <v>65</v>
      </c>
      <c r="CS9" s="437" t="s">
        <v>114</v>
      </c>
      <c r="CT9" s="438" t="s">
        <v>65</v>
      </c>
      <c r="CU9" s="437" t="s">
        <v>114</v>
      </c>
      <c r="CV9" s="438" t="s">
        <v>65</v>
      </c>
      <c r="CW9" s="437" t="s">
        <v>114</v>
      </c>
      <c r="CX9" s="438" t="s">
        <v>65</v>
      </c>
      <c r="CY9" s="504" t="s">
        <v>114</v>
      </c>
      <c r="CZ9" s="503" t="s">
        <v>65</v>
      </c>
      <c r="DA9" s="437" t="s">
        <v>114</v>
      </c>
      <c r="DB9" s="438" t="s">
        <v>65</v>
      </c>
      <c r="DC9" s="437" t="s">
        <v>64</v>
      </c>
      <c r="DD9" s="438" t="s">
        <v>65</v>
      </c>
      <c r="DE9" s="437" t="s">
        <v>114</v>
      </c>
      <c r="DF9" s="493" t="s">
        <v>65</v>
      </c>
      <c r="DG9" s="437" t="s">
        <v>114</v>
      </c>
      <c r="DH9" s="493" t="s">
        <v>65</v>
      </c>
      <c r="DI9" s="437" t="s">
        <v>114</v>
      </c>
      <c r="DJ9" s="438" t="s">
        <v>65</v>
      </c>
      <c r="DK9" s="437" t="s">
        <v>114</v>
      </c>
      <c r="DL9" s="493" t="s">
        <v>65</v>
      </c>
      <c r="DM9" s="437" t="s">
        <v>114</v>
      </c>
      <c r="DN9" s="493" t="s">
        <v>65</v>
      </c>
      <c r="DO9" s="494" t="s">
        <v>64</v>
      </c>
      <c r="DP9" s="438" t="s">
        <v>65</v>
      </c>
      <c r="DQ9" s="799"/>
      <c r="DR9" s="801"/>
      <c r="DS9" s="787"/>
      <c r="DT9" s="789"/>
      <c r="DU9" s="787"/>
      <c r="DV9" s="787"/>
      <c r="DW9" s="787"/>
      <c r="DX9" s="787"/>
      <c r="DY9" s="787"/>
      <c r="DZ9" s="787"/>
      <c r="EA9" s="787"/>
      <c r="EB9" s="787"/>
      <c r="EC9" s="787"/>
      <c r="ED9" s="787"/>
      <c r="EE9" s="787"/>
      <c r="EF9" s="787"/>
      <c r="EG9" s="787"/>
      <c r="EH9" s="787"/>
      <c r="EI9" s="787"/>
      <c r="EJ9" s="787"/>
      <c r="EK9" s="787"/>
      <c r="EL9" s="787"/>
      <c r="EM9" s="787"/>
      <c r="EN9" s="787"/>
      <c r="EO9" s="787"/>
      <c r="EP9" s="437"/>
      <c r="EQ9" s="787"/>
      <c r="ER9" s="799"/>
      <c r="ES9" s="787"/>
      <c r="ET9" s="807"/>
    </row>
    <row r="10" spans="1:156" s="54" customFormat="1" ht="19.5" thickTop="1">
      <c r="A10" s="444">
        <f>A9+1</f>
        <v>1</v>
      </c>
      <c r="B10" s="445" t="s">
        <v>115</v>
      </c>
      <c r="C10" s="634">
        <v>0</v>
      </c>
      <c r="D10" s="626">
        <v>1</v>
      </c>
      <c r="E10" s="446"/>
      <c r="F10" s="447">
        <v>1</v>
      </c>
      <c r="G10" s="497">
        <v>1994.2</v>
      </c>
      <c r="H10" s="498">
        <v>3178.47526</v>
      </c>
      <c r="I10" s="448">
        <f>(G10-H10)/G10*100%</f>
        <v>-0.5938598234881156</v>
      </c>
      <c r="J10" s="449">
        <v>0</v>
      </c>
      <c r="K10" s="564">
        <v>3966.07534</v>
      </c>
      <c r="L10" s="544">
        <v>6388.05552</v>
      </c>
      <c r="M10" s="452">
        <f aca="true" t="shared" si="0" ref="M10:M34">K10/L10*100%</f>
        <v>0.620857994671906</v>
      </c>
      <c r="N10" s="451">
        <v>0.8</v>
      </c>
      <c r="O10" s="564">
        <v>3966.07534</v>
      </c>
      <c r="P10" s="565">
        <v>7463.97</v>
      </c>
      <c r="Q10" s="450">
        <f>O10/P10*100%</f>
        <v>0.5313627118008245</v>
      </c>
      <c r="R10" s="547">
        <f>IF(0%&lt;Q10&gt;70%,Q10/70%,1)</f>
        <v>0.7590895882868922</v>
      </c>
      <c r="S10" s="564">
        <f>3966.07534-671.30435</f>
        <v>3294.77099</v>
      </c>
      <c r="T10" s="548"/>
      <c r="U10" s="564">
        <f>4656.29725-560.96206</f>
        <v>4095.33519</v>
      </c>
      <c r="V10" s="490">
        <f>S10/U10*100%</f>
        <v>0.8045180277417049</v>
      </c>
      <c r="W10" s="35">
        <f>IF(V10&gt;100%,1,0)</f>
        <v>0</v>
      </c>
      <c r="X10" s="549">
        <v>1462.53073</v>
      </c>
      <c r="Y10" s="549">
        <v>959.56551</v>
      </c>
      <c r="Z10" s="490">
        <f>Y10/X10*100%</f>
        <v>0.6560993832929582</v>
      </c>
      <c r="AA10" s="550">
        <f aca="true" t="shared" si="1" ref="AA10:AA33">1-(Z10/100%)</f>
        <v>0.34390061670704175</v>
      </c>
      <c r="AB10" s="549">
        <v>959.56551</v>
      </c>
      <c r="AC10" s="551">
        <f>3966.07534-1440.89125-0.0001</f>
        <v>2525.1839899999995</v>
      </c>
      <c r="AD10" s="452">
        <f>AB10/AC10*100%</f>
        <v>0.3799982550974435</v>
      </c>
      <c r="AE10" s="552">
        <f>IF(0&lt;AD10&gt;100%,1-AD10/100%,0)</f>
        <v>0.6200017449025566</v>
      </c>
      <c r="AF10" s="553">
        <v>2421.98018</v>
      </c>
      <c r="AG10" s="544">
        <v>6388.05552</v>
      </c>
      <c r="AH10" s="601">
        <v>150.09993</v>
      </c>
      <c r="AI10" s="450">
        <f>AF10/(AG10-AH10)*100%</f>
        <v>0.3882650565647904</v>
      </c>
      <c r="AJ10" s="554">
        <v>0.8</v>
      </c>
      <c r="AK10" s="566">
        <v>-1528.63432</v>
      </c>
      <c r="AL10" s="602">
        <v>-649.00276</v>
      </c>
      <c r="AM10" s="558">
        <v>879.6</v>
      </c>
      <c r="AN10" s="480">
        <v>0</v>
      </c>
      <c r="AO10" s="567">
        <v>2900</v>
      </c>
      <c r="AP10" s="568">
        <v>3762.8</v>
      </c>
      <c r="AQ10" s="569">
        <f>AO10*100%/AP10</f>
        <v>0.7707026682257893</v>
      </c>
      <c r="AR10" s="455">
        <v>1</v>
      </c>
      <c r="AS10" s="453"/>
      <c r="AT10" s="620"/>
      <c r="AU10" s="542">
        <v>13472.41</v>
      </c>
      <c r="AV10" s="575">
        <v>5002.82</v>
      </c>
      <c r="AW10" s="432">
        <f>AV10/AU10</f>
        <v>0.3713381644412544</v>
      </c>
      <c r="AX10" s="576">
        <v>1</v>
      </c>
      <c r="AY10" s="567">
        <v>2896.7</v>
      </c>
      <c r="AZ10" s="578">
        <f>AY10*100/AO10</f>
        <v>99.88620689655173</v>
      </c>
      <c r="BA10" s="578">
        <f>AY10*100/AV10</f>
        <v>57.90134364218581</v>
      </c>
      <c r="BB10" s="579">
        <v>0.5</v>
      </c>
      <c r="BC10" s="579">
        <v>1</v>
      </c>
      <c r="BD10" s="583">
        <v>2378</v>
      </c>
      <c r="BE10" s="584">
        <f>AU10</f>
        <v>13472.41</v>
      </c>
      <c r="BF10" s="585">
        <f>(BE10/BD10)/($BE$34/$BD$34)*100</f>
        <v>69.2198423342451</v>
      </c>
      <c r="BG10" s="576">
        <v>0.7</v>
      </c>
      <c r="BH10" s="579">
        <f>BE10*100/BE47</f>
        <v>1.6638174207620877</v>
      </c>
      <c r="BI10" s="453">
        <f aca="true" t="shared" si="2" ref="BI10:BI34">BK10*100/AO10</f>
        <v>56.763103448275864</v>
      </c>
      <c r="BJ10" s="453">
        <f aca="true" t="shared" si="3" ref="BJ10:BJ34">BK10*100/AU10</f>
        <v>12.218526603629195</v>
      </c>
      <c r="BK10" s="568">
        <v>1646.13</v>
      </c>
      <c r="BL10" s="431">
        <f>BD10</f>
        <v>2378</v>
      </c>
      <c r="BM10" s="432">
        <f>(BK10/BL10)/($BK$34/$BL$34)*100%</f>
        <v>0.4969848975425785</v>
      </c>
      <c r="BN10" s="576">
        <v>0</v>
      </c>
      <c r="BO10" s="524">
        <v>4257.53</v>
      </c>
      <c r="BP10" s="524">
        <v>1937.17</v>
      </c>
      <c r="BQ10" s="431">
        <f>BP10/BO10*100</f>
        <v>45.49985555004898</v>
      </c>
      <c r="BR10" s="432">
        <f>BP10/BO10</f>
        <v>0.4549985555004898</v>
      </c>
      <c r="BS10" s="587">
        <v>0</v>
      </c>
      <c r="BT10" s="594">
        <f>BE10</f>
        <v>13472.41</v>
      </c>
      <c r="BU10" s="595">
        <v>1</v>
      </c>
      <c r="BV10" s="596">
        <v>1</v>
      </c>
      <c r="BW10" s="599">
        <v>0</v>
      </c>
      <c r="BX10" s="621">
        <v>1</v>
      </c>
      <c r="BY10" s="625">
        <v>0</v>
      </c>
      <c r="BZ10" s="626">
        <f>(1-BY10/1)</f>
        <v>1</v>
      </c>
      <c r="CA10" s="637">
        <v>0</v>
      </c>
      <c r="CB10" s="42">
        <f>1-(CA10/1)</f>
        <v>1</v>
      </c>
      <c r="CC10" s="560">
        <v>0</v>
      </c>
      <c r="CD10" s="559">
        <f>1-(CC10/1)</f>
        <v>1</v>
      </c>
      <c r="CE10" s="455">
        <v>0</v>
      </c>
      <c r="CF10" s="455">
        <v>1</v>
      </c>
      <c r="CG10" s="455">
        <v>0</v>
      </c>
      <c r="CH10" s="453">
        <v>1</v>
      </c>
      <c r="CI10" s="455">
        <v>0</v>
      </c>
      <c r="CJ10" s="455">
        <v>1</v>
      </c>
      <c r="CK10" s="453">
        <v>0</v>
      </c>
      <c r="CL10" s="562">
        <v>1</v>
      </c>
      <c r="CM10" s="430">
        <f>BY10+CA10+CC10+CE10+CG10+CI10+CK10</f>
        <v>0</v>
      </c>
      <c r="CN10" s="495">
        <f>1-CM10/26</f>
        <v>1</v>
      </c>
      <c r="CO10" s="454">
        <v>0</v>
      </c>
      <c r="CP10" s="639">
        <f aca="true" t="shared" si="4" ref="CP10:CP33">1-CO10/6</f>
        <v>1</v>
      </c>
      <c r="CQ10" s="431">
        <v>0</v>
      </c>
      <c r="CR10" s="640">
        <f aca="true" t="shared" si="5" ref="CR10:CR33">1-CQ10/11</f>
        <v>1</v>
      </c>
      <c r="CS10" s="395">
        <v>0</v>
      </c>
      <c r="CT10" s="641">
        <f aca="true" t="shared" si="6" ref="CT10:CT33">1-CS10/3</f>
        <v>1</v>
      </c>
      <c r="CU10" s="395">
        <v>0</v>
      </c>
      <c r="CV10" s="481">
        <f aca="true" t="shared" si="7" ref="CV10:CV33">1-CU10/2</f>
        <v>1</v>
      </c>
      <c r="CW10" s="476">
        <v>0</v>
      </c>
      <c r="CX10" s="495">
        <f aca="true" t="shared" si="8" ref="CX10:CX26">1-CW10/5</f>
        <v>1</v>
      </c>
      <c r="CY10" s="625">
        <v>0</v>
      </c>
      <c r="CZ10" s="626">
        <f>1-CY10/2</f>
        <v>1</v>
      </c>
      <c r="DA10" s="645">
        <v>0</v>
      </c>
      <c r="DB10" s="447">
        <f aca="true" t="shared" si="9" ref="DB10:DB33">1-DA10/11</f>
        <v>1</v>
      </c>
      <c r="DC10" s="456"/>
      <c r="DD10" s="447">
        <f aca="true" t="shared" si="10" ref="DD10:DD33">1-DC10/19</f>
        <v>1</v>
      </c>
      <c r="DE10" s="562">
        <v>1</v>
      </c>
      <c r="DF10" s="559">
        <f>1-DE10/2</f>
        <v>0.5</v>
      </c>
      <c r="DG10" s="560">
        <f>2+1+1</f>
        <v>4</v>
      </c>
      <c r="DH10" s="559">
        <f>1-(DG10/8)</f>
        <v>0.5</v>
      </c>
      <c r="DI10" s="433"/>
      <c r="DJ10" s="477">
        <f aca="true" t="shared" si="11" ref="DJ10:DJ33">1-DI10/31</f>
        <v>1</v>
      </c>
      <c r="DK10" s="395">
        <v>0</v>
      </c>
      <c r="DL10" s="431">
        <v>1</v>
      </c>
      <c r="DM10" s="560">
        <v>0</v>
      </c>
      <c r="DN10" s="559">
        <v>1</v>
      </c>
      <c r="DO10" s="386"/>
      <c r="DP10" s="507">
        <f aca="true" t="shared" si="12" ref="DP10:DP33">1-DO10/41</f>
        <v>1</v>
      </c>
      <c r="DQ10" s="630">
        <v>4.605263157894736</v>
      </c>
      <c r="DR10" s="626">
        <v>0.7576177285318559</v>
      </c>
      <c r="DS10" s="455"/>
      <c r="DT10" s="457">
        <f aca="true" t="shared" si="13" ref="DT10:DT33">1-DS10/1</f>
        <v>1</v>
      </c>
      <c r="DU10" s="458"/>
      <c r="DV10" s="447">
        <v>1</v>
      </c>
      <c r="DW10" s="458"/>
      <c r="DX10" s="458"/>
      <c r="DY10" s="447">
        <v>1</v>
      </c>
      <c r="DZ10" s="458"/>
      <c r="EA10" s="458"/>
      <c r="EB10" s="447">
        <v>1</v>
      </c>
      <c r="EC10" s="458"/>
      <c r="ED10" s="458"/>
      <c r="EE10" s="447">
        <v>1</v>
      </c>
      <c r="EF10" s="458"/>
      <c r="EG10" s="458"/>
      <c r="EH10" s="447">
        <v>1</v>
      </c>
      <c r="EI10" s="458"/>
      <c r="EJ10" s="458"/>
      <c r="EK10" s="447">
        <v>1</v>
      </c>
      <c r="EL10" s="458"/>
      <c r="EM10" s="458"/>
      <c r="EN10" s="447"/>
      <c r="EO10" s="453"/>
      <c r="EP10" s="453"/>
      <c r="EQ10" s="447"/>
      <c r="ER10" s="431">
        <f>D10+F10+N10+R10+W10+AA10+AE10+AJ10+AN10+AR10+AX10+BB10+BC10+BG10+BN10+BS10+BV10+BX10+CN10+DD10+DP10+DR10+DT10+DV10+DY10+EB10</f>
        <v>19.280609678428345</v>
      </c>
      <c r="ES10" s="395">
        <v>20</v>
      </c>
      <c r="ET10" s="431" t="s">
        <v>117</v>
      </c>
      <c r="EV10" s="54">
        <v>21.28406506910028</v>
      </c>
      <c r="EW10" s="54">
        <v>20</v>
      </c>
      <c r="EX10" s="54">
        <v>1.552704073700215</v>
      </c>
      <c r="EY10" s="54" t="s">
        <v>116</v>
      </c>
      <c r="EZ10" s="440">
        <f aca="true" t="shared" si="14" ref="EZ10:EZ34">CM10+DC10+DO10+DQ10+DS10</f>
        <v>4.605263157894736</v>
      </c>
    </row>
    <row r="11" spans="1:156" s="54" customFormat="1" ht="18.75">
      <c r="A11" s="474">
        <f>A10+1</f>
        <v>2</v>
      </c>
      <c r="B11" s="475" t="s">
        <v>118</v>
      </c>
      <c r="C11" s="635">
        <v>0</v>
      </c>
      <c r="D11" s="628">
        <v>1</v>
      </c>
      <c r="E11" s="476"/>
      <c r="F11" s="477">
        <v>1</v>
      </c>
      <c r="G11" s="499">
        <v>2822.36926</v>
      </c>
      <c r="H11" s="498">
        <v>5743.68148</v>
      </c>
      <c r="I11" s="432">
        <f>(G11-H11)/G11*100%</f>
        <v>-1.0350567026796487</v>
      </c>
      <c r="J11" s="479">
        <v>0</v>
      </c>
      <c r="K11" s="564">
        <v>7865.1371</v>
      </c>
      <c r="L11" s="545">
        <v>15243.9192</v>
      </c>
      <c r="M11" s="61">
        <f t="shared" si="0"/>
        <v>0.5159524264599881</v>
      </c>
      <c r="N11" s="480">
        <v>0.8</v>
      </c>
      <c r="O11" s="564">
        <v>7865.1371</v>
      </c>
      <c r="P11" s="565">
        <v>10162.02901</v>
      </c>
      <c r="Q11" s="58">
        <f>O11/P11*100%</f>
        <v>0.7739731004763192</v>
      </c>
      <c r="R11" s="547">
        <v>1</v>
      </c>
      <c r="S11" s="564">
        <f>7865.1371-921.20593</f>
        <v>6943.93117</v>
      </c>
      <c r="T11" s="545"/>
      <c r="U11" s="564">
        <f>4250.75629-768.27403</f>
        <v>3482.48226</v>
      </c>
      <c r="V11" s="491">
        <f aca="true" t="shared" si="15" ref="V11:V30">S11/U11*100%</f>
        <v>1.9939602420257554</v>
      </c>
      <c r="W11" s="35">
        <f aca="true" t="shared" si="16" ref="W11:W33">IF(V11&gt;100%,1,0)</f>
        <v>1</v>
      </c>
      <c r="X11" s="549">
        <v>1380.27832</v>
      </c>
      <c r="Y11" s="549">
        <v>962.09847</v>
      </c>
      <c r="Z11" s="491">
        <f>Y11/X11*100%</f>
        <v>0.697032226080317</v>
      </c>
      <c r="AA11" s="550">
        <f t="shared" si="1"/>
        <v>0.302967773919683</v>
      </c>
      <c r="AB11" s="549">
        <v>962.09847</v>
      </c>
      <c r="AC11" s="551">
        <f>7865.1371-430.3829-233.93947-2909.7-168.93932</f>
        <v>4122.17541</v>
      </c>
      <c r="AD11" s="61">
        <f>AB11/AC11*100%</f>
        <v>0.23339581029619505</v>
      </c>
      <c r="AE11" s="552">
        <f aca="true" t="shared" si="17" ref="AE11:AE32">IF(0&lt;AD11&gt;100%,1-AD11/100%,0)</f>
        <v>0.766604189703805</v>
      </c>
      <c r="AF11" s="553">
        <v>7328.7821</v>
      </c>
      <c r="AG11" s="545">
        <v>15243.9192</v>
      </c>
      <c r="AH11" s="601">
        <v>204.13931</v>
      </c>
      <c r="AI11" s="58">
        <f>AF11/(AG11-AH11)*100%</f>
        <v>0.4872931754056409</v>
      </c>
      <c r="AJ11" s="555">
        <v>0.8</v>
      </c>
      <c r="AK11" s="557">
        <v>-568.16163</v>
      </c>
      <c r="AL11" s="557">
        <v>-944.04936</v>
      </c>
      <c r="AM11" s="557">
        <v>-375.8</v>
      </c>
      <c r="AN11" s="480">
        <v>1</v>
      </c>
      <c r="AO11" s="570">
        <v>4165.13</v>
      </c>
      <c r="AP11" s="571">
        <v>4328.9</v>
      </c>
      <c r="AQ11" s="448">
        <f>AO11*100%/AP11</f>
        <v>0.9621682182540601</v>
      </c>
      <c r="AR11" s="395">
        <v>1</v>
      </c>
      <c r="AS11" s="478"/>
      <c r="AT11" s="605"/>
      <c r="AU11" s="543">
        <v>24232.64</v>
      </c>
      <c r="AV11" s="575">
        <v>7276.46</v>
      </c>
      <c r="AW11" s="432">
        <f aca="true" t="shared" si="18" ref="AW11:AW34">AV11/AU11</f>
        <v>0.30027516605702065</v>
      </c>
      <c r="AX11" s="577">
        <v>1</v>
      </c>
      <c r="AY11" s="570">
        <v>3929.79</v>
      </c>
      <c r="AZ11" s="580">
        <f aca="true" t="shared" si="19" ref="AZ11:AZ34">AY11*100/AO11</f>
        <v>94.3497561900829</v>
      </c>
      <c r="BA11" s="580">
        <f aca="true" t="shared" si="20" ref="BA11:BA34">AY11*100/AV11</f>
        <v>54.006893461930666</v>
      </c>
      <c r="BB11" s="581">
        <v>0.5</v>
      </c>
      <c r="BC11" s="581">
        <v>1</v>
      </c>
      <c r="BD11" s="586">
        <v>3190</v>
      </c>
      <c r="BE11" s="584">
        <f aca="true" t="shared" si="21" ref="BE11:BE33">AU11</f>
        <v>24232.64</v>
      </c>
      <c r="BF11" s="585">
        <f aca="true" t="shared" si="22" ref="BF11:BF34">(BE11/BD11)/($BE$34/$BD$34)*100</f>
        <v>92.81265844363456</v>
      </c>
      <c r="BG11" s="577">
        <v>0.9</v>
      </c>
      <c r="BH11" s="478" t="e">
        <f>BE11*100/#REF!</f>
        <v>#REF!</v>
      </c>
      <c r="BI11" s="431">
        <f t="shared" si="2"/>
        <v>95.69401195160775</v>
      </c>
      <c r="BJ11" s="433">
        <f t="shared" si="3"/>
        <v>16.447980905093296</v>
      </c>
      <c r="BK11" s="571">
        <v>3985.78</v>
      </c>
      <c r="BL11" s="431">
        <f aca="true" t="shared" si="23" ref="BL11:BL33">BD11</f>
        <v>3190</v>
      </c>
      <c r="BM11" s="432">
        <f aca="true" t="shared" si="24" ref="BM11:BM34">(BK11/BL11)/($BK$34/$BL$34)*100%</f>
        <v>0.8970436010192238</v>
      </c>
      <c r="BN11" s="577">
        <v>0</v>
      </c>
      <c r="BO11" s="525">
        <v>13121.75</v>
      </c>
      <c r="BP11" s="525">
        <v>6109.13</v>
      </c>
      <c r="BQ11" s="431">
        <f>BP11/BO11*100</f>
        <v>46.55728085049631</v>
      </c>
      <c r="BR11" s="432">
        <f>BP11/BO11</f>
        <v>0.46557280850496313</v>
      </c>
      <c r="BS11" s="585">
        <v>0</v>
      </c>
      <c r="BT11" s="594">
        <f aca="true" t="shared" si="25" ref="BT11:BT33">BE11</f>
        <v>24232.64</v>
      </c>
      <c r="BU11" s="597">
        <v>1</v>
      </c>
      <c r="BV11" s="598">
        <v>1</v>
      </c>
      <c r="BW11" s="600">
        <v>12.303084949832774</v>
      </c>
      <c r="BX11" s="622">
        <v>0.8769691505016722</v>
      </c>
      <c r="BY11" s="627">
        <v>0</v>
      </c>
      <c r="BZ11" s="628">
        <f>(1-BY11/1)</f>
        <v>1</v>
      </c>
      <c r="CA11" s="638">
        <v>0</v>
      </c>
      <c r="CB11" s="42">
        <f aca="true" t="shared" si="26" ref="CB11:CB33">1-(CA11/1)</f>
        <v>1</v>
      </c>
      <c r="CC11" s="561">
        <v>0</v>
      </c>
      <c r="CD11" s="559">
        <f aca="true" t="shared" si="27" ref="CD11:CD33">1-(CC11/1)</f>
        <v>1</v>
      </c>
      <c r="CE11" s="395">
        <v>0</v>
      </c>
      <c r="CF11" s="395">
        <v>1</v>
      </c>
      <c r="CG11" s="395">
        <v>0</v>
      </c>
      <c r="CH11" s="431">
        <v>1</v>
      </c>
      <c r="CI11" s="395">
        <v>0</v>
      </c>
      <c r="CJ11" s="395">
        <v>1</v>
      </c>
      <c r="CK11" s="453">
        <v>0</v>
      </c>
      <c r="CL11" s="563">
        <v>1</v>
      </c>
      <c r="CM11" s="430">
        <f aca="true" t="shared" si="28" ref="CM11:CM33">BY11+CA11+CC11+CE11+CG11+CI11+CK11</f>
        <v>0</v>
      </c>
      <c r="CN11" s="496">
        <f aca="true" t="shared" si="29" ref="CN11:CN33">1-CM11/26</f>
        <v>1</v>
      </c>
      <c r="CO11" s="454">
        <v>0</v>
      </c>
      <c r="CP11" s="639">
        <f t="shared" si="4"/>
        <v>1</v>
      </c>
      <c r="CQ11" s="431">
        <v>0</v>
      </c>
      <c r="CR11" s="640">
        <f t="shared" si="5"/>
        <v>1</v>
      </c>
      <c r="CS11" s="395">
        <v>0</v>
      </c>
      <c r="CT11" s="641">
        <f t="shared" si="6"/>
        <v>1</v>
      </c>
      <c r="CU11" s="395">
        <v>0</v>
      </c>
      <c r="CV11" s="481">
        <f t="shared" si="7"/>
        <v>1</v>
      </c>
      <c r="CW11" s="476">
        <v>0</v>
      </c>
      <c r="CX11" s="642">
        <f t="shared" si="8"/>
        <v>1</v>
      </c>
      <c r="CY11" s="627">
        <v>1</v>
      </c>
      <c r="CZ11" s="628">
        <f>1-CY11/2</f>
        <v>0.5</v>
      </c>
      <c r="DA11" s="646">
        <v>0</v>
      </c>
      <c r="DB11" s="477">
        <f t="shared" si="9"/>
        <v>1</v>
      </c>
      <c r="DC11" s="484"/>
      <c r="DD11" s="477">
        <f t="shared" si="10"/>
        <v>1</v>
      </c>
      <c r="DE11" s="563">
        <v>0</v>
      </c>
      <c r="DF11" s="559">
        <f aca="true" t="shared" si="30" ref="DF11:DF33">1-DE11/2</f>
        <v>1</v>
      </c>
      <c r="DG11" s="561">
        <v>1</v>
      </c>
      <c r="DH11" s="559">
        <f aca="true" t="shared" si="31" ref="DH11:DH33">1-(DG11/8)</f>
        <v>0.875</v>
      </c>
      <c r="DI11" s="433"/>
      <c r="DJ11" s="477">
        <f t="shared" si="11"/>
        <v>1</v>
      </c>
      <c r="DK11" s="395">
        <v>0</v>
      </c>
      <c r="DL11" s="431">
        <v>1</v>
      </c>
      <c r="DM11" s="561">
        <v>0</v>
      </c>
      <c r="DN11" s="559">
        <v>1</v>
      </c>
      <c r="DO11" s="395"/>
      <c r="DP11" s="508">
        <f t="shared" si="12"/>
        <v>1</v>
      </c>
      <c r="DQ11" s="631">
        <v>0.4629629629629629</v>
      </c>
      <c r="DR11" s="628">
        <v>0.9756335282651072</v>
      </c>
      <c r="DS11" s="395"/>
      <c r="DT11" s="485">
        <f t="shared" si="13"/>
        <v>1</v>
      </c>
      <c r="DU11" s="486"/>
      <c r="DV11" s="482">
        <v>1</v>
      </c>
      <c r="DW11" s="487"/>
      <c r="DX11" s="486"/>
      <c r="DY11" s="482">
        <v>1</v>
      </c>
      <c r="DZ11" s="487"/>
      <c r="EA11" s="486"/>
      <c r="EB11" s="482">
        <v>1</v>
      </c>
      <c r="EC11" s="487"/>
      <c r="ED11" s="486"/>
      <c r="EE11" s="482">
        <v>1</v>
      </c>
      <c r="EF11" s="487"/>
      <c r="EG11" s="486"/>
      <c r="EH11" s="482">
        <v>1</v>
      </c>
      <c r="EI11" s="487"/>
      <c r="EJ11" s="486"/>
      <c r="EK11" s="648">
        <v>1</v>
      </c>
      <c r="EL11" s="487"/>
      <c r="EM11" s="487"/>
      <c r="EN11" s="482"/>
      <c r="EO11" s="478"/>
      <c r="EP11" s="478"/>
      <c r="EQ11" s="482"/>
      <c r="ER11" s="431">
        <f aca="true" t="shared" si="32" ref="ER11:ER33">D11+F11+N11+R11+W11+AA11+AE11+AJ11+AN11+AR11+AX11+BB11+BC11+BG11+BN11+BS11+BV11+BX11+CN11+DD11+DP11+DR11+DT11+DV11+DY11+EB11</f>
        <v>21.922174642390267</v>
      </c>
      <c r="ES11" s="395">
        <v>2</v>
      </c>
      <c r="ET11" s="431" t="s">
        <v>117</v>
      </c>
      <c r="EU11" s="409"/>
      <c r="EV11" s="409">
        <v>19.740985861303372</v>
      </c>
      <c r="EW11" s="409">
        <v>24</v>
      </c>
      <c r="EX11" s="409">
        <v>1.552704073700215</v>
      </c>
      <c r="EY11" s="409" t="s">
        <v>116</v>
      </c>
      <c r="EZ11" s="440">
        <f t="shared" si="14"/>
        <v>0.4629629629629629</v>
      </c>
    </row>
    <row r="12" spans="1:156" s="54" customFormat="1" ht="23.25" customHeight="1">
      <c r="A12" s="474">
        <v>3</v>
      </c>
      <c r="B12" s="488" t="s">
        <v>120</v>
      </c>
      <c r="C12" s="635">
        <v>0</v>
      </c>
      <c r="D12" s="628">
        <v>1</v>
      </c>
      <c r="E12" s="476"/>
      <c r="F12" s="477">
        <v>1</v>
      </c>
      <c r="G12" s="500">
        <v>4717</v>
      </c>
      <c r="H12" s="498">
        <v>6966.149899999999</v>
      </c>
      <c r="I12" s="432">
        <f>(G12-H12)/G12*100%</f>
        <v>-0.4768178715285138</v>
      </c>
      <c r="J12" s="479">
        <v>0</v>
      </c>
      <c r="K12" s="564">
        <v>10440.11794</v>
      </c>
      <c r="L12" s="544">
        <v>22497.39024</v>
      </c>
      <c r="M12" s="61">
        <f>K12/L12*100%</f>
        <v>0.4640590676796652</v>
      </c>
      <c r="N12" s="480">
        <v>0.5</v>
      </c>
      <c r="O12" s="564">
        <v>10440.11794</v>
      </c>
      <c r="P12" s="565">
        <v>18153.94056</v>
      </c>
      <c r="Q12" s="58">
        <f>O12/P12*100%</f>
        <v>0.5750882518037727</v>
      </c>
      <c r="R12" s="547">
        <f aca="true" t="shared" si="33" ref="R12:R33">IF(0%&lt;Q12&gt;70%,Q12/70%,1)</f>
        <v>0.821554645433961</v>
      </c>
      <c r="S12" s="564">
        <f>10440.11794-3513.32262</f>
        <v>6926.79532</v>
      </c>
      <c r="T12" s="546"/>
      <c r="U12" s="564">
        <f>12328.59769-2934.88808</f>
        <v>9393.70961</v>
      </c>
      <c r="V12" s="491">
        <f t="shared" si="15"/>
        <v>0.7373865711822872</v>
      </c>
      <c r="W12" s="35">
        <f t="shared" si="16"/>
        <v>0</v>
      </c>
      <c r="X12" s="549">
        <v>4989.25518</v>
      </c>
      <c r="Y12" s="549">
        <v>5007.97933</v>
      </c>
      <c r="Z12" s="491">
        <f aca="true" t="shared" si="34" ref="Z12:Z34">Y12/X12*100%</f>
        <v>1.003752894835898</v>
      </c>
      <c r="AA12" s="550">
        <f t="shared" si="1"/>
        <v>-0.003752894835898024</v>
      </c>
      <c r="AB12" s="549">
        <v>5007.97933</v>
      </c>
      <c r="AC12" s="551">
        <f>10440.11794-454.87561-218.08011</f>
        <v>9767.16222</v>
      </c>
      <c r="AD12" s="61">
        <f aca="true" t="shared" si="35" ref="AD12:AD34">AB12/AC12*100%</f>
        <v>0.5127363728786313</v>
      </c>
      <c r="AE12" s="552">
        <f t="shared" si="17"/>
        <v>0.4872636271213687</v>
      </c>
      <c r="AF12" s="553">
        <v>12057.2723</v>
      </c>
      <c r="AG12" s="544">
        <v>22497.39024</v>
      </c>
      <c r="AH12" s="601">
        <v>280.01475</v>
      </c>
      <c r="AI12" s="58">
        <f aca="true" t="shared" si="36" ref="AI12:AI34">AF12/(AG12-AH12)*100%</f>
        <v>0.542695617015023</v>
      </c>
      <c r="AJ12" s="555">
        <v>0.5</v>
      </c>
      <c r="AK12" s="557">
        <v>-2587.81265</v>
      </c>
      <c r="AL12" s="557">
        <v>-784.0927</v>
      </c>
      <c r="AM12" s="557">
        <v>1803.7</v>
      </c>
      <c r="AN12" s="480">
        <v>0</v>
      </c>
      <c r="AO12" s="572">
        <v>3704.44</v>
      </c>
      <c r="AP12" s="573">
        <v>5032.7</v>
      </c>
      <c r="AQ12" s="432">
        <f aca="true" t="shared" si="37" ref="AQ12:AQ34">AO12*100%/AP12</f>
        <v>0.7360740755459296</v>
      </c>
      <c r="AR12" s="395">
        <v>1</v>
      </c>
      <c r="AS12" s="431"/>
      <c r="AT12" s="605"/>
      <c r="AU12" s="543">
        <v>43743.59</v>
      </c>
      <c r="AV12" s="575">
        <v>8358.81</v>
      </c>
      <c r="AW12" s="432">
        <f t="shared" si="18"/>
        <v>0.19108651118941083</v>
      </c>
      <c r="AX12" s="577">
        <v>1</v>
      </c>
      <c r="AY12" s="572">
        <v>3650.83</v>
      </c>
      <c r="AZ12" s="580">
        <f t="shared" si="19"/>
        <v>98.55281769984127</v>
      </c>
      <c r="BA12" s="580">
        <f t="shared" si="20"/>
        <v>43.676432410833606</v>
      </c>
      <c r="BB12" s="581">
        <v>0.5</v>
      </c>
      <c r="BC12" s="581">
        <v>1</v>
      </c>
      <c r="BD12" s="586">
        <v>4866</v>
      </c>
      <c r="BE12" s="584">
        <f t="shared" si="21"/>
        <v>43743.59</v>
      </c>
      <c r="BF12" s="585">
        <f t="shared" si="22"/>
        <v>109.83467839834458</v>
      </c>
      <c r="BG12" s="577">
        <v>0.9</v>
      </c>
      <c r="BH12" s="581">
        <f>BE12*100/BE14</f>
        <v>105.35282834919356</v>
      </c>
      <c r="BI12" s="431">
        <f t="shared" si="2"/>
        <v>522.4147239528781</v>
      </c>
      <c r="BJ12" s="431">
        <f t="shared" si="3"/>
        <v>44.24085906072182</v>
      </c>
      <c r="BK12" s="573">
        <v>19352.54</v>
      </c>
      <c r="BL12" s="431">
        <f t="shared" si="23"/>
        <v>4866</v>
      </c>
      <c r="BM12" s="432">
        <f t="shared" si="24"/>
        <v>2.855333108697656</v>
      </c>
      <c r="BN12" s="577">
        <v>1</v>
      </c>
      <c r="BO12" s="526">
        <v>9865.89</v>
      </c>
      <c r="BP12" s="526">
        <v>5137.76</v>
      </c>
      <c r="BQ12" s="431">
        <f aca="true" t="shared" si="38" ref="BQ12:BQ33">BP12/BO12*100</f>
        <v>52.07599111686832</v>
      </c>
      <c r="BR12" s="432">
        <f aca="true" t="shared" si="39" ref="BR12:BR33">BP12/BO12</f>
        <v>0.5207599111686833</v>
      </c>
      <c r="BS12" s="585">
        <v>0</v>
      </c>
      <c r="BT12" s="594">
        <f t="shared" si="25"/>
        <v>43743.59</v>
      </c>
      <c r="BU12" s="597">
        <v>1</v>
      </c>
      <c r="BV12" s="598">
        <v>1</v>
      </c>
      <c r="BW12" s="600">
        <v>0</v>
      </c>
      <c r="BX12" s="622">
        <v>1</v>
      </c>
      <c r="BY12" s="627">
        <v>0</v>
      </c>
      <c r="BZ12" s="628">
        <f aca="true" t="shared" si="40" ref="BZ12:BZ33">(1-BY12/1)</f>
        <v>1</v>
      </c>
      <c r="CA12" s="638">
        <v>0</v>
      </c>
      <c r="CB12" s="42">
        <f t="shared" si="26"/>
        <v>1</v>
      </c>
      <c r="CC12" s="561">
        <v>0</v>
      </c>
      <c r="CD12" s="559">
        <f t="shared" si="27"/>
        <v>1</v>
      </c>
      <c r="CE12" s="395">
        <v>0</v>
      </c>
      <c r="CF12" s="395">
        <v>1</v>
      </c>
      <c r="CG12" s="395">
        <v>0</v>
      </c>
      <c r="CH12" s="431">
        <v>1</v>
      </c>
      <c r="CI12" s="395">
        <v>0</v>
      </c>
      <c r="CJ12" s="395">
        <v>1</v>
      </c>
      <c r="CK12" s="431">
        <v>0</v>
      </c>
      <c r="CL12" s="563">
        <v>1</v>
      </c>
      <c r="CM12" s="430">
        <f t="shared" si="28"/>
        <v>0</v>
      </c>
      <c r="CN12" s="496">
        <f t="shared" si="29"/>
        <v>1</v>
      </c>
      <c r="CO12" s="433">
        <v>0</v>
      </c>
      <c r="CP12" s="643">
        <f t="shared" si="4"/>
        <v>1</v>
      </c>
      <c r="CQ12" s="431">
        <v>0</v>
      </c>
      <c r="CR12" s="644">
        <f t="shared" si="5"/>
        <v>1</v>
      </c>
      <c r="CS12" s="395">
        <v>0</v>
      </c>
      <c r="CT12" s="496">
        <f t="shared" si="6"/>
        <v>1</v>
      </c>
      <c r="CU12" s="395">
        <v>0</v>
      </c>
      <c r="CV12" s="481">
        <f t="shared" si="7"/>
        <v>1</v>
      </c>
      <c r="CW12" s="476">
        <v>0</v>
      </c>
      <c r="CX12" s="477">
        <f t="shared" si="8"/>
        <v>1</v>
      </c>
      <c r="CY12" s="627">
        <v>0</v>
      </c>
      <c r="CZ12" s="628">
        <f aca="true" t="shared" si="41" ref="CZ12:CZ33">1-CY12/2</f>
        <v>1</v>
      </c>
      <c r="DA12" s="646">
        <v>0</v>
      </c>
      <c r="DB12" s="477">
        <f t="shared" si="9"/>
        <v>1</v>
      </c>
      <c r="DC12" s="484"/>
      <c r="DD12" s="477">
        <f t="shared" si="10"/>
        <v>1</v>
      </c>
      <c r="DE12" s="563">
        <v>0</v>
      </c>
      <c r="DF12" s="559">
        <f t="shared" si="30"/>
        <v>1</v>
      </c>
      <c r="DG12" s="561">
        <v>2</v>
      </c>
      <c r="DH12" s="559">
        <f t="shared" si="31"/>
        <v>0.75</v>
      </c>
      <c r="DI12" s="433"/>
      <c r="DJ12" s="477">
        <f t="shared" si="11"/>
        <v>1</v>
      </c>
      <c r="DK12" s="395">
        <v>0</v>
      </c>
      <c r="DL12" s="431">
        <v>1</v>
      </c>
      <c r="DM12" s="561">
        <v>0</v>
      </c>
      <c r="DN12" s="559">
        <v>1</v>
      </c>
      <c r="DO12" s="395"/>
      <c r="DP12" s="508">
        <f t="shared" si="12"/>
        <v>1</v>
      </c>
      <c r="DQ12" s="631">
        <v>0</v>
      </c>
      <c r="DR12" s="628">
        <v>1</v>
      </c>
      <c r="DS12" s="395"/>
      <c r="DT12" s="485">
        <f t="shared" si="13"/>
        <v>1</v>
      </c>
      <c r="DU12" s="486"/>
      <c r="DV12" s="477">
        <v>1</v>
      </c>
      <c r="DW12" s="486"/>
      <c r="DX12" s="486"/>
      <c r="DY12" s="477">
        <v>1</v>
      </c>
      <c r="DZ12" s="486"/>
      <c r="EA12" s="486"/>
      <c r="EB12" s="477">
        <v>1</v>
      </c>
      <c r="EC12" s="486"/>
      <c r="ED12" s="486"/>
      <c r="EE12" s="477">
        <v>1</v>
      </c>
      <c r="EF12" s="486"/>
      <c r="EG12" s="486"/>
      <c r="EH12" s="477">
        <v>1</v>
      </c>
      <c r="EI12" s="486"/>
      <c r="EJ12" s="486"/>
      <c r="EK12" s="477">
        <v>1</v>
      </c>
      <c r="EL12" s="486"/>
      <c r="EM12" s="486"/>
      <c r="EN12" s="477"/>
      <c r="EO12" s="431"/>
      <c r="EP12" s="431"/>
      <c r="EQ12" s="477"/>
      <c r="ER12" s="431">
        <f t="shared" si="32"/>
        <v>19.705065377719432</v>
      </c>
      <c r="ES12" s="395">
        <v>17</v>
      </c>
      <c r="ET12" s="431" t="s">
        <v>117</v>
      </c>
      <c r="EV12" s="54">
        <v>22.003913579326042</v>
      </c>
      <c r="EW12" s="54">
        <v>10</v>
      </c>
      <c r="EX12" s="54">
        <v>1.552704073700215</v>
      </c>
      <c r="EY12" s="54" t="s">
        <v>117</v>
      </c>
      <c r="EZ12" s="440">
        <f t="shared" si="14"/>
        <v>0</v>
      </c>
    </row>
    <row r="13" spans="1:156" s="54" customFormat="1" ht="18.75">
      <c r="A13" s="474">
        <v>4</v>
      </c>
      <c r="B13" s="488" t="s">
        <v>121</v>
      </c>
      <c r="C13" s="635">
        <v>0</v>
      </c>
      <c r="D13" s="628">
        <v>1</v>
      </c>
      <c r="E13" s="476"/>
      <c r="F13" s="477">
        <v>1</v>
      </c>
      <c r="G13" s="500">
        <v>15285.888</v>
      </c>
      <c r="H13" s="498">
        <v>15109.650409999998</v>
      </c>
      <c r="I13" s="432">
        <f>(G13-H13)/G13*100%</f>
        <v>0.011529430936560732</v>
      </c>
      <c r="J13" s="479">
        <f>1-(I13/20%)</f>
        <v>0.9423528453171963</v>
      </c>
      <c r="K13" s="564">
        <v>15054.38626</v>
      </c>
      <c r="L13" s="544">
        <v>15926.646</v>
      </c>
      <c r="M13" s="61">
        <f t="shared" si="0"/>
        <v>0.9452326786192146</v>
      </c>
      <c r="N13" s="480">
        <v>1</v>
      </c>
      <c r="O13" s="564">
        <v>15054.38626</v>
      </c>
      <c r="P13" s="565">
        <v>25908.41</v>
      </c>
      <c r="Q13" s="58">
        <f aca="true" t="shared" si="42" ref="Q13:Q32">O13/P13*100%</f>
        <v>0.5810617579388314</v>
      </c>
      <c r="R13" s="547">
        <f t="shared" si="33"/>
        <v>0.8300882256269021</v>
      </c>
      <c r="S13" s="564">
        <f>15054.38626-1945.31252</f>
        <v>13109.07374</v>
      </c>
      <c r="T13" s="546"/>
      <c r="U13" s="564">
        <f>13949.30556-1625.97677</f>
        <v>12323.328790000001</v>
      </c>
      <c r="V13" s="491">
        <f t="shared" si="15"/>
        <v>1.063760771410855</v>
      </c>
      <c r="W13" s="35">
        <f t="shared" si="16"/>
        <v>1</v>
      </c>
      <c r="X13" s="549">
        <v>20292.50825</v>
      </c>
      <c r="Y13" s="549">
        <v>18754.24042</v>
      </c>
      <c r="Z13" s="492">
        <f t="shared" si="34"/>
        <v>0.9241952837446795</v>
      </c>
      <c r="AA13" s="550">
        <f t="shared" si="1"/>
        <v>0.07580471625532048</v>
      </c>
      <c r="AB13" s="549">
        <v>18754.24042</v>
      </c>
      <c r="AC13" s="551">
        <f>15054.38626-953.5846-197.23678-62-3.67879</f>
        <v>13837.88609</v>
      </c>
      <c r="AD13" s="61">
        <f t="shared" si="35"/>
        <v>1.3552821795196608</v>
      </c>
      <c r="AE13" s="552">
        <v>0</v>
      </c>
      <c r="AF13" s="553">
        <v>892.26032</v>
      </c>
      <c r="AG13" s="544">
        <v>15926.646</v>
      </c>
      <c r="AH13" s="601">
        <v>639.82</v>
      </c>
      <c r="AI13" s="58">
        <f>AF13/(AG13-AH13)*100%</f>
        <v>0.05836792542807774</v>
      </c>
      <c r="AJ13" s="555">
        <v>1</v>
      </c>
      <c r="AK13" s="557">
        <v>-9824.32288</v>
      </c>
      <c r="AL13" s="557">
        <v>-8304.62057</v>
      </c>
      <c r="AM13" s="557">
        <v>1519.7</v>
      </c>
      <c r="AN13" s="480">
        <v>0</v>
      </c>
      <c r="AO13" s="574">
        <v>5329.91</v>
      </c>
      <c r="AP13" s="573">
        <v>6245.5</v>
      </c>
      <c r="AQ13" s="432">
        <f t="shared" si="37"/>
        <v>0.8534000480345849</v>
      </c>
      <c r="AR13" s="395">
        <v>1</v>
      </c>
      <c r="AS13" s="431"/>
      <c r="AT13" s="605"/>
      <c r="AU13" s="543">
        <v>38534.27</v>
      </c>
      <c r="AV13" s="575">
        <v>12368.35</v>
      </c>
      <c r="AW13" s="432">
        <f t="shared" si="18"/>
        <v>0.32097013904765814</v>
      </c>
      <c r="AX13" s="577">
        <v>1</v>
      </c>
      <c r="AY13" s="574">
        <v>4942</v>
      </c>
      <c r="AZ13" s="580">
        <f t="shared" si="19"/>
        <v>92.72201594398405</v>
      </c>
      <c r="BA13" s="580">
        <f t="shared" si="20"/>
        <v>39.95682528388993</v>
      </c>
      <c r="BB13" s="581">
        <v>0.5</v>
      </c>
      <c r="BC13" s="581">
        <v>1</v>
      </c>
      <c r="BD13" s="586">
        <v>9253</v>
      </c>
      <c r="BE13" s="584">
        <f t="shared" si="21"/>
        <v>38534.27</v>
      </c>
      <c r="BF13" s="585">
        <f t="shared" si="22"/>
        <v>50.88171474241526</v>
      </c>
      <c r="BG13" s="577">
        <v>0</v>
      </c>
      <c r="BH13" s="581">
        <f>BE13*100/BE41</f>
        <v>4.75891022633292</v>
      </c>
      <c r="BI13" s="431">
        <f t="shared" si="2"/>
        <v>94.3205419978949</v>
      </c>
      <c r="BJ13" s="431">
        <f t="shared" si="3"/>
        <v>13.04604965917351</v>
      </c>
      <c r="BK13" s="580">
        <v>5027.2</v>
      </c>
      <c r="BL13" s="431">
        <f t="shared" si="23"/>
        <v>9253</v>
      </c>
      <c r="BM13" s="432">
        <f t="shared" si="24"/>
        <v>0.3900627813534376</v>
      </c>
      <c r="BN13" s="577">
        <v>0</v>
      </c>
      <c r="BO13" s="588">
        <v>1964.11</v>
      </c>
      <c r="BP13" s="588">
        <v>833.62</v>
      </c>
      <c r="BQ13" s="431">
        <f t="shared" si="38"/>
        <v>42.44263305008376</v>
      </c>
      <c r="BR13" s="432">
        <f t="shared" si="39"/>
        <v>0.42442633050083756</v>
      </c>
      <c r="BS13" s="585">
        <v>0</v>
      </c>
      <c r="BT13" s="594">
        <f t="shared" si="25"/>
        <v>38534.27</v>
      </c>
      <c r="BU13" s="597">
        <v>1</v>
      </c>
      <c r="BV13" s="598">
        <v>1</v>
      </c>
      <c r="BW13" s="600">
        <v>15.705861688024743</v>
      </c>
      <c r="BX13" s="622">
        <v>0.8429413831197525</v>
      </c>
      <c r="BY13" s="627">
        <v>0</v>
      </c>
      <c r="BZ13" s="628">
        <f t="shared" si="40"/>
        <v>1</v>
      </c>
      <c r="CA13" s="638">
        <v>0</v>
      </c>
      <c r="CB13" s="42">
        <f t="shared" si="26"/>
        <v>1</v>
      </c>
      <c r="CC13" s="561">
        <v>0</v>
      </c>
      <c r="CD13" s="559">
        <f t="shared" si="27"/>
        <v>1</v>
      </c>
      <c r="CE13" s="395">
        <v>0</v>
      </c>
      <c r="CF13" s="395">
        <v>1</v>
      </c>
      <c r="CG13" s="395">
        <v>0</v>
      </c>
      <c r="CH13" s="431">
        <v>1</v>
      </c>
      <c r="CI13" s="395">
        <v>0</v>
      </c>
      <c r="CJ13" s="395">
        <v>1</v>
      </c>
      <c r="CK13" s="431">
        <v>0</v>
      </c>
      <c r="CL13" s="563">
        <v>1</v>
      </c>
      <c r="CM13" s="430">
        <f t="shared" si="28"/>
        <v>0</v>
      </c>
      <c r="CN13" s="496">
        <f t="shared" si="29"/>
        <v>1</v>
      </c>
      <c r="CO13" s="433">
        <v>0</v>
      </c>
      <c r="CP13" s="483">
        <f t="shared" si="4"/>
        <v>1</v>
      </c>
      <c r="CQ13" s="431">
        <v>0</v>
      </c>
      <c r="CR13" s="431">
        <f t="shared" si="5"/>
        <v>1</v>
      </c>
      <c r="CS13" s="395">
        <v>0</v>
      </c>
      <c r="CT13" s="477">
        <f t="shared" si="6"/>
        <v>1</v>
      </c>
      <c r="CU13" s="395">
        <v>0</v>
      </c>
      <c r="CV13" s="481">
        <f t="shared" si="7"/>
        <v>1</v>
      </c>
      <c r="CW13" s="476">
        <v>0</v>
      </c>
      <c r="CX13" s="477">
        <f t="shared" si="8"/>
        <v>1</v>
      </c>
      <c r="CY13" s="627">
        <v>0</v>
      </c>
      <c r="CZ13" s="628">
        <f t="shared" si="41"/>
        <v>1</v>
      </c>
      <c r="DA13" s="646">
        <v>0</v>
      </c>
      <c r="DB13" s="477">
        <f t="shared" si="9"/>
        <v>1</v>
      </c>
      <c r="DC13" s="484"/>
      <c r="DD13" s="477">
        <f t="shared" si="10"/>
        <v>1</v>
      </c>
      <c r="DE13" s="563">
        <v>0</v>
      </c>
      <c r="DF13" s="559">
        <f t="shared" si="30"/>
        <v>1</v>
      </c>
      <c r="DG13" s="561">
        <f>1+1</f>
        <v>2</v>
      </c>
      <c r="DH13" s="559">
        <f t="shared" si="31"/>
        <v>0.75</v>
      </c>
      <c r="DI13" s="433"/>
      <c r="DJ13" s="477">
        <f t="shared" si="11"/>
        <v>1</v>
      </c>
      <c r="DK13" s="395">
        <v>0</v>
      </c>
      <c r="DL13" s="431">
        <v>1</v>
      </c>
      <c r="DM13" s="561">
        <v>0</v>
      </c>
      <c r="DN13" s="559">
        <v>1</v>
      </c>
      <c r="DO13" s="395"/>
      <c r="DP13" s="508">
        <f t="shared" si="12"/>
        <v>1</v>
      </c>
      <c r="DQ13" s="631">
        <v>3.9501039501039505</v>
      </c>
      <c r="DR13" s="628">
        <v>0.7920997920997921</v>
      </c>
      <c r="DS13" s="395"/>
      <c r="DT13" s="485">
        <f t="shared" si="13"/>
        <v>1</v>
      </c>
      <c r="DU13" s="486"/>
      <c r="DV13" s="477">
        <v>1</v>
      </c>
      <c r="DW13" s="486"/>
      <c r="DX13" s="486"/>
      <c r="DY13" s="477">
        <v>1</v>
      </c>
      <c r="DZ13" s="486"/>
      <c r="EA13" s="486"/>
      <c r="EB13" s="477">
        <v>1</v>
      </c>
      <c r="EC13" s="486"/>
      <c r="ED13" s="486"/>
      <c r="EE13" s="477">
        <v>1</v>
      </c>
      <c r="EF13" s="486"/>
      <c r="EG13" s="486"/>
      <c r="EH13" s="477">
        <v>1</v>
      </c>
      <c r="EI13" s="486"/>
      <c r="EJ13" s="486"/>
      <c r="EK13" s="477">
        <v>1</v>
      </c>
      <c r="EL13" s="486"/>
      <c r="EM13" s="486"/>
      <c r="EN13" s="477"/>
      <c r="EO13" s="431"/>
      <c r="EP13" s="431"/>
      <c r="EQ13" s="477"/>
      <c r="ER13" s="431">
        <f t="shared" si="32"/>
        <v>19.040934117101767</v>
      </c>
      <c r="ES13" s="395">
        <v>22</v>
      </c>
      <c r="ET13" s="431" t="s">
        <v>117</v>
      </c>
      <c r="EV13" s="54">
        <v>21.545696582639835</v>
      </c>
      <c r="EW13" s="54">
        <v>13</v>
      </c>
      <c r="EX13" s="54">
        <v>1.552704073700215</v>
      </c>
      <c r="EY13" s="54" t="s">
        <v>117</v>
      </c>
      <c r="EZ13" s="440">
        <f t="shared" si="14"/>
        <v>3.9501039501039505</v>
      </c>
    </row>
    <row r="14" spans="1:156" s="54" customFormat="1" ht="18.75">
      <c r="A14" s="474">
        <v>5</v>
      </c>
      <c r="B14" s="488" t="s">
        <v>122</v>
      </c>
      <c r="C14" s="635">
        <v>0</v>
      </c>
      <c r="D14" s="628">
        <v>1</v>
      </c>
      <c r="E14" s="476"/>
      <c r="F14" s="477">
        <v>1</v>
      </c>
      <c r="G14" s="500">
        <v>15302.27303</v>
      </c>
      <c r="H14" s="498">
        <v>15938.350359999999</v>
      </c>
      <c r="I14" s="432">
        <f aca="true" t="shared" si="43" ref="I14:I32">(G14-H14)/G14*100%</f>
        <v>-0.041567506262172496</v>
      </c>
      <c r="J14" s="479">
        <v>0</v>
      </c>
      <c r="K14" s="564">
        <v>23670.34329</v>
      </c>
      <c r="L14" s="544">
        <v>24289.04287</v>
      </c>
      <c r="M14" s="61">
        <f t="shared" si="0"/>
        <v>0.9745276261682517</v>
      </c>
      <c r="N14" s="480">
        <v>1</v>
      </c>
      <c r="O14" s="564">
        <v>23670.34329</v>
      </c>
      <c r="P14" s="565">
        <v>27903.22251</v>
      </c>
      <c r="Q14" s="58">
        <f t="shared" si="42"/>
        <v>0.8483014204369043</v>
      </c>
      <c r="R14" s="547">
        <v>1</v>
      </c>
      <c r="S14" s="564">
        <f>23670.34329-1146.60738</f>
        <v>22523.73591</v>
      </c>
      <c r="T14" s="546"/>
      <c r="U14" s="564">
        <f>16827.39777-943.06654</f>
        <v>15884.33123</v>
      </c>
      <c r="V14" s="491">
        <f t="shared" si="15"/>
        <v>1.417984527259194</v>
      </c>
      <c r="W14" s="35">
        <f t="shared" si="16"/>
        <v>1</v>
      </c>
      <c r="X14" s="549">
        <v>561.27907</v>
      </c>
      <c r="Y14" s="549">
        <v>523.35626</v>
      </c>
      <c r="Z14" s="492">
        <f t="shared" si="34"/>
        <v>0.9324350184659478</v>
      </c>
      <c r="AA14" s="550">
        <f t="shared" si="1"/>
        <v>0.06756498153405222</v>
      </c>
      <c r="AB14" s="549">
        <v>523.35626</v>
      </c>
      <c r="AC14" s="551">
        <f>23670.34329-224.89245-43.60687</f>
        <v>23401.84397</v>
      </c>
      <c r="AD14" s="61">
        <f t="shared" si="35"/>
        <v>0.02236388981444867</v>
      </c>
      <c r="AE14" s="552">
        <f t="shared" si="17"/>
        <v>0.9776361101855513</v>
      </c>
      <c r="AF14" s="553">
        <v>421.37683</v>
      </c>
      <c r="AG14" s="544">
        <v>24289.04287</v>
      </c>
      <c r="AH14" s="601">
        <v>241.08307</v>
      </c>
      <c r="AI14" s="58">
        <f t="shared" si="36"/>
        <v>0.01752235256148424</v>
      </c>
      <c r="AJ14" s="555">
        <v>1</v>
      </c>
      <c r="AK14" s="557">
        <v>-12313.28574</v>
      </c>
      <c r="AL14" s="557">
        <v>-15369.94841</v>
      </c>
      <c r="AM14" s="557">
        <v>-3056.6</v>
      </c>
      <c r="AN14" s="480">
        <v>1</v>
      </c>
      <c r="AO14" s="567">
        <v>4289.5</v>
      </c>
      <c r="AP14" s="573">
        <v>4289.5</v>
      </c>
      <c r="AQ14" s="432">
        <f t="shared" si="37"/>
        <v>1</v>
      </c>
      <c r="AR14" s="395">
        <v>1</v>
      </c>
      <c r="AS14" s="431"/>
      <c r="AT14" s="605"/>
      <c r="AU14" s="543">
        <v>41521.04</v>
      </c>
      <c r="AV14" s="575">
        <v>9341.99</v>
      </c>
      <c r="AW14" s="432">
        <f t="shared" si="18"/>
        <v>0.22499412346126205</v>
      </c>
      <c r="AX14" s="577">
        <v>1</v>
      </c>
      <c r="AY14" s="567">
        <v>4262.2</v>
      </c>
      <c r="AZ14" s="580">
        <f t="shared" si="19"/>
        <v>99.36356218673505</v>
      </c>
      <c r="BA14" s="580">
        <f t="shared" si="20"/>
        <v>45.62411220735625</v>
      </c>
      <c r="BB14" s="581">
        <v>0.5</v>
      </c>
      <c r="BC14" s="581">
        <v>1</v>
      </c>
      <c r="BD14" s="586">
        <v>3594</v>
      </c>
      <c r="BE14" s="584">
        <f t="shared" si="21"/>
        <v>41521.04</v>
      </c>
      <c r="BF14" s="585">
        <f t="shared" si="22"/>
        <v>141.1520907079271</v>
      </c>
      <c r="BG14" s="577">
        <v>1</v>
      </c>
      <c r="BH14" s="581">
        <f>BE14*100/BE54</f>
        <v>5.127770731454838</v>
      </c>
      <c r="BI14" s="431">
        <f t="shared" si="2"/>
        <v>52.15060030306562</v>
      </c>
      <c r="BJ14" s="431">
        <f t="shared" si="3"/>
        <v>5.387629982293315</v>
      </c>
      <c r="BK14" s="580">
        <v>2237</v>
      </c>
      <c r="BL14" s="431">
        <f t="shared" si="23"/>
        <v>3594</v>
      </c>
      <c r="BM14" s="432">
        <f t="shared" si="24"/>
        <v>0.4468675546256153</v>
      </c>
      <c r="BN14" s="577">
        <v>0</v>
      </c>
      <c r="BO14" s="589">
        <v>686.65</v>
      </c>
      <c r="BP14" s="589">
        <v>171.65</v>
      </c>
      <c r="BQ14" s="431">
        <f t="shared" si="38"/>
        <v>24.998179567465233</v>
      </c>
      <c r="BR14" s="432">
        <f t="shared" si="39"/>
        <v>0.2499817956746523</v>
      </c>
      <c r="BS14" s="585">
        <v>0</v>
      </c>
      <c r="BT14" s="594">
        <f t="shared" si="25"/>
        <v>41521.04</v>
      </c>
      <c r="BU14" s="597">
        <v>1</v>
      </c>
      <c r="BV14" s="598">
        <v>1</v>
      </c>
      <c r="BW14" s="600">
        <v>0</v>
      </c>
      <c r="BX14" s="622">
        <v>1</v>
      </c>
      <c r="BY14" s="627">
        <v>0</v>
      </c>
      <c r="BZ14" s="628">
        <f t="shared" si="40"/>
        <v>1</v>
      </c>
      <c r="CA14" s="638" t="s">
        <v>184</v>
      </c>
      <c r="CB14" s="36" t="s">
        <v>184</v>
      </c>
      <c r="CC14" s="561">
        <v>0</v>
      </c>
      <c r="CD14" s="559">
        <f t="shared" si="27"/>
        <v>1</v>
      </c>
      <c r="CE14" s="395">
        <v>0</v>
      </c>
      <c r="CF14" s="395">
        <v>1</v>
      </c>
      <c r="CG14" s="395">
        <v>0</v>
      </c>
      <c r="CH14" s="431">
        <v>1</v>
      </c>
      <c r="CI14" s="395">
        <v>0</v>
      </c>
      <c r="CJ14" s="395">
        <v>1</v>
      </c>
      <c r="CK14" s="431">
        <v>0</v>
      </c>
      <c r="CL14" s="563">
        <v>1</v>
      </c>
      <c r="CM14" s="430">
        <f>BY14+CC14+CE14+CG14+CI14+CK14</f>
        <v>0</v>
      </c>
      <c r="CN14" s="496">
        <f t="shared" si="29"/>
        <v>1</v>
      </c>
      <c r="CO14" s="433">
        <v>0</v>
      </c>
      <c r="CP14" s="483">
        <f t="shared" si="4"/>
        <v>1</v>
      </c>
      <c r="CQ14" s="431">
        <v>0</v>
      </c>
      <c r="CR14" s="431">
        <f t="shared" si="5"/>
        <v>1</v>
      </c>
      <c r="CS14" s="395">
        <v>0</v>
      </c>
      <c r="CT14" s="477">
        <f t="shared" si="6"/>
        <v>1</v>
      </c>
      <c r="CU14" s="395">
        <v>0</v>
      </c>
      <c r="CV14" s="481">
        <f t="shared" si="7"/>
        <v>1</v>
      </c>
      <c r="CW14" s="476">
        <v>0</v>
      </c>
      <c r="CX14" s="477">
        <f t="shared" si="8"/>
        <v>1</v>
      </c>
      <c r="CY14" s="627">
        <v>0</v>
      </c>
      <c r="CZ14" s="628">
        <f t="shared" si="41"/>
        <v>1</v>
      </c>
      <c r="DA14" s="646">
        <v>0</v>
      </c>
      <c r="DB14" s="477">
        <f t="shared" si="9"/>
        <v>1</v>
      </c>
      <c r="DC14" s="484"/>
      <c r="DD14" s="477">
        <f t="shared" si="10"/>
        <v>1</v>
      </c>
      <c r="DE14" s="563">
        <v>1</v>
      </c>
      <c r="DF14" s="559">
        <f t="shared" si="30"/>
        <v>0.5</v>
      </c>
      <c r="DG14" s="561">
        <f>1+1+1</f>
        <v>3</v>
      </c>
      <c r="DH14" s="559">
        <f t="shared" si="31"/>
        <v>0.625</v>
      </c>
      <c r="DI14" s="433"/>
      <c r="DJ14" s="477">
        <f t="shared" si="11"/>
        <v>1</v>
      </c>
      <c r="DK14" s="395">
        <v>0</v>
      </c>
      <c r="DL14" s="431">
        <v>1</v>
      </c>
      <c r="DM14" s="561">
        <v>0</v>
      </c>
      <c r="DN14" s="559">
        <v>1</v>
      </c>
      <c r="DO14" s="395"/>
      <c r="DP14" s="508">
        <f t="shared" si="12"/>
        <v>1</v>
      </c>
      <c r="DQ14" s="631">
        <v>0.35842293906810035</v>
      </c>
      <c r="DR14" s="628">
        <v>0.9811356347858895</v>
      </c>
      <c r="DS14" s="395">
        <v>1</v>
      </c>
      <c r="DT14" s="485">
        <f t="shared" si="13"/>
        <v>0</v>
      </c>
      <c r="DU14" s="486"/>
      <c r="DV14" s="477">
        <v>1</v>
      </c>
      <c r="DW14" s="486"/>
      <c r="DX14" s="486"/>
      <c r="DY14" s="477">
        <v>1</v>
      </c>
      <c r="DZ14" s="486"/>
      <c r="EA14" s="486"/>
      <c r="EB14" s="477">
        <v>1</v>
      </c>
      <c r="EC14" s="486"/>
      <c r="ED14" s="486"/>
      <c r="EE14" s="477">
        <v>1</v>
      </c>
      <c r="EF14" s="486"/>
      <c r="EG14" s="486"/>
      <c r="EH14" s="477">
        <v>1</v>
      </c>
      <c r="EI14" s="486"/>
      <c r="EJ14" s="486"/>
      <c r="EK14" s="477">
        <v>1</v>
      </c>
      <c r="EL14" s="486"/>
      <c r="EM14" s="486"/>
      <c r="EN14" s="477"/>
      <c r="EO14" s="431"/>
      <c r="EP14" s="431"/>
      <c r="EQ14" s="477"/>
      <c r="ER14" s="431">
        <f t="shared" si="32"/>
        <v>21.526336726505495</v>
      </c>
      <c r="ES14" s="395">
        <v>4</v>
      </c>
      <c r="ET14" s="431" t="s">
        <v>117</v>
      </c>
      <c r="EU14" s="80"/>
      <c r="EV14" s="54">
        <v>22.354608989794855</v>
      </c>
      <c r="EW14" s="54">
        <v>6</v>
      </c>
      <c r="EX14" s="54">
        <v>1.552704073700215</v>
      </c>
      <c r="EY14" s="54" t="s">
        <v>117</v>
      </c>
      <c r="EZ14" s="440">
        <f t="shared" si="14"/>
        <v>1.3584229390681004</v>
      </c>
    </row>
    <row r="15" spans="1:156" s="54" customFormat="1" ht="18.75">
      <c r="A15" s="474">
        <v>6</v>
      </c>
      <c r="B15" s="488" t="s">
        <v>123</v>
      </c>
      <c r="C15" s="635">
        <v>0</v>
      </c>
      <c r="D15" s="628">
        <v>1</v>
      </c>
      <c r="E15" s="476"/>
      <c r="F15" s="477">
        <v>1</v>
      </c>
      <c r="G15" s="500">
        <v>1657.2</v>
      </c>
      <c r="H15" s="498">
        <v>2084.48866</v>
      </c>
      <c r="I15" s="432">
        <f t="shared" si="43"/>
        <v>-0.2578377142167511</v>
      </c>
      <c r="J15" s="479">
        <v>0</v>
      </c>
      <c r="K15" s="564">
        <v>2727.8125</v>
      </c>
      <c r="L15" s="546">
        <v>7697.14486</v>
      </c>
      <c r="M15" s="61">
        <f t="shared" si="0"/>
        <v>0.3543927715555557</v>
      </c>
      <c r="N15" s="480">
        <v>0.5</v>
      </c>
      <c r="O15" s="564">
        <v>2727.8125</v>
      </c>
      <c r="P15" s="565">
        <v>5391.43</v>
      </c>
      <c r="Q15" s="58">
        <f t="shared" si="42"/>
        <v>0.5059534297950636</v>
      </c>
      <c r="R15" s="547">
        <f t="shared" si="33"/>
        <v>0.7227906139929481</v>
      </c>
      <c r="S15" s="564">
        <f>2727.8125-931.006</f>
        <v>1796.8065000000001</v>
      </c>
      <c r="T15" s="546"/>
      <c r="U15" s="564">
        <f>2543.35194-776.4039</f>
        <v>1766.94804</v>
      </c>
      <c r="V15" s="491">
        <f t="shared" si="15"/>
        <v>1.0168983237333906</v>
      </c>
      <c r="W15" s="35">
        <f t="shared" si="16"/>
        <v>1</v>
      </c>
      <c r="X15" s="549">
        <v>1452.41585</v>
      </c>
      <c r="Y15" s="549">
        <v>1416.66146</v>
      </c>
      <c r="Z15" s="492">
        <f t="shared" si="34"/>
        <v>0.9753828147771866</v>
      </c>
      <c r="AA15" s="550">
        <f t="shared" si="1"/>
        <v>0.02461718522281342</v>
      </c>
      <c r="AB15" s="549">
        <v>1416.66146</v>
      </c>
      <c r="AC15" s="551">
        <f>2727.8125-727.30209-38.63684</f>
        <v>1961.87357</v>
      </c>
      <c r="AD15" s="61">
        <f t="shared" si="35"/>
        <v>0.7220962052106141</v>
      </c>
      <c r="AE15" s="552">
        <f t="shared" si="17"/>
        <v>0.27790379478938587</v>
      </c>
      <c r="AF15" s="553">
        <v>4949.33236</v>
      </c>
      <c r="AG15" s="546">
        <v>7697.14486</v>
      </c>
      <c r="AH15" s="601">
        <v>158.544</v>
      </c>
      <c r="AI15" s="58">
        <f t="shared" si="36"/>
        <v>0.6565319549229988</v>
      </c>
      <c r="AJ15" s="555">
        <v>0.5</v>
      </c>
      <c r="AK15" s="557">
        <v>-156.56182</v>
      </c>
      <c r="AL15" s="557">
        <v>-345.87935</v>
      </c>
      <c r="AM15" s="557">
        <v>-189.3</v>
      </c>
      <c r="AN15" s="480">
        <v>1</v>
      </c>
      <c r="AO15" s="567">
        <v>2812.97</v>
      </c>
      <c r="AP15" s="573">
        <v>3384.7</v>
      </c>
      <c r="AQ15" s="432">
        <f t="shared" si="37"/>
        <v>0.831083995627382</v>
      </c>
      <c r="AR15" s="395">
        <v>1</v>
      </c>
      <c r="AS15" s="431"/>
      <c r="AT15" s="605"/>
      <c r="AU15" s="543">
        <v>14414.67</v>
      </c>
      <c r="AV15" s="575">
        <v>4598.33</v>
      </c>
      <c r="AW15" s="432">
        <f t="shared" si="18"/>
        <v>0.3190034874194137</v>
      </c>
      <c r="AX15" s="577">
        <v>1</v>
      </c>
      <c r="AY15" s="567">
        <v>2410.17</v>
      </c>
      <c r="AZ15" s="580">
        <f t="shared" si="19"/>
        <v>85.68061515053485</v>
      </c>
      <c r="BA15" s="580">
        <f t="shared" si="20"/>
        <v>52.41402857124217</v>
      </c>
      <c r="BB15" s="581">
        <v>0.5</v>
      </c>
      <c r="BC15" s="581">
        <v>1</v>
      </c>
      <c r="BD15" s="586">
        <v>1930</v>
      </c>
      <c r="BE15" s="584">
        <f t="shared" si="21"/>
        <v>14414.67</v>
      </c>
      <c r="BF15" s="585">
        <f t="shared" si="22"/>
        <v>91.25245564582455</v>
      </c>
      <c r="BG15" s="577">
        <v>1</v>
      </c>
      <c r="BH15" s="581">
        <f>BE15*100/BE57</f>
        <v>1.7801847672789533</v>
      </c>
      <c r="BI15" s="431">
        <f t="shared" si="2"/>
        <v>2.8848512426367865</v>
      </c>
      <c r="BJ15" s="431">
        <f t="shared" si="3"/>
        <v>0.5629681428711167</v>
      </c>
      <c r="BK15" s="580">
        <v>81.15</v>
      </c>
      <c r="BL15" s="431">
        <f t="shared" si="23"/>
        <v>1930</v>
      </c>
      <c r="BM15" s="432">
        <f t="shared" si="24"/>
        <v>0.03018715099932136</v>
      </c>
      <c r="BN15" s="577">
        <v>0</v>
      </c>
      <c r="BO15" s="590">
        <v>8639.16</v>
      </c>
      <c r="BP15" s="590">
        <v>4582.48</v>
      </c>
      <c r="BQ15" s="431">
        <f t="shared" si="38"/>
        <v>53.04311993295644</v>
      </c>
      <c r="BR15" s="432">
        <f t="shared" si="39"/>
        <v>0.5304311993295644</v>
      </c>
      <c r="BS15" s="585">
        <v>0</v>
      </c>
      <c r="BT15" s="594">
        <f t="shared" si="25"/>
        <v>14414.67</v>
      </c>
      <c r="BU15" s="597">
        <v>1</v>
      </c>
      <c r="BV15" s="598">
        <v>1</v>
      </c>
      <c r="BW15" s="600">
        <v>22.196825639069058</v>
      </c>
      <c r="BX15" s="622">
        <v>0.7780317436093094</v>
      </c>
      <c r="BY15" s="627">
        <v>0</v>
      </c>
      <c r="BZ15" s="628">
        <f t="shared" si="40"/>
        <v>1</v>
      </c>
      <c r="CA15" s="638">
        <v>0</v>
      </c>
      <c r="CB15" s="42">
        <f t="shared" si="26"/>
        <v>1</v>
      </c>
      <c r="CC15" s="561">
        <v>0</v>
      </c>
      <c r="CD15" s="559">
        <f t="shared" si="27"/>
        <v>1</v>
      </c>
      <c r="CE15" s="395">
        <v>0</v>
      </c>
      <c r="CF15" s="395">
        <v>1</v>
      </c>
      <c r="CG15" s="395">
        <v>0</v>
      </c>
      <c r="CH15" s="431">
        <v>11</v>
      </c>
      <c r="CI15" s="395">
        <v>0</v>
      </c>
      <c r="CJ15" s="395">
        <v>1</v>
      </c>
      <c r="CK15" s="431">
        <v>0</v>
      </c>
      <c r="CL15" s="563">
        <v>1</v>
      </c>
      <c r="CM15" s="430">
        <f t="shared" si="28"/>
        <v>0</v>
      </c>
      <c r="CN15" s="496">
        <f t="shared" si="29"/>
        <v>1</v>
      </c>
      <c r="CO15" s="433">
        <v>0</v>
      </c>
      <c r="CP15" s="483">
        <f t="shared" si="4"/>
        <v>1</v>
      </c>
      <c r="CQ15" s="431">
        <v>0</v>
      </c>
      <c r="CR15" s="431">
        <f t="shared" si="5"/>
        <v>1</v>
      </c>
      <c r="CS15" s="395">
        <v>0</v>
      </c>
      <c r="CT15" s="477">
        <f t="shared" si="6"/>
        <v>1</v>
      </c>
      <c r="CU15" s="395">
        <v>0</v>
      </c>
      <c r="CV15" s="481">
        <f t="shared" si="7"/>
        <v>1</v>
      </c>
      <c r="CW15" s="476">
        <v>0</v>
      </c>
      <c r="CX15" s="477">
        <f t="shared" si="8"/>
        <v>1</v>
      </c>
      <c r="CY15" s="627">
        <v>1</v>
      </c>
      <c r="CZ15" s="628">
        <f t="shared" si="41"/>
        <v>0.5</v>
      </c>
      <c r="DA15" s="646">
        <v>0</v>
      </c>
      <c r="DB15" s="477">
        <f t="shared" si="9"/>
        <v>1</v>
      </c>
      <c r="DC15" s="484"/>
      <c r="DD15" s="477">
        <f t="shared" si="10"/>
        <v>1</v>
      </c>
      <c r="DE15" s="563">
        <v>0</v>
      </c>
      <c r="DF15" s="559">
        <f t="shared" si="30"/>
        <v>1</v>
      </c>
      <c r="DG15" s="561">
        <f>1+1</f>
        <v>2</v>
      </c>
      <c r="DH15" s="559">
        <f t="shared" si="31"/>
        <v>0.75</v>
      </c>
      <c r="DI15" s="433"/>
      <c r="DJ15" s="477">
        <f t="shared" si="11"/>
        <v>1</v>
      </c>
      <c r="DK15" s="395">
        <v>0</v>
      </c>
      <c r="DL15" s="431">
        <v>1</v>
      </c>
      <c r="DM15" s="561">
        <v>0</v>
      </c>
      <c r="DN15" s="559">
        <v>1</v>
      </c>
      <c r="DO15" s="395"/>
      <c r="DP15" s="508">
        <f t="shared" si="12"/>
        <v>1</v>
      </c>
      <c r="DQ15" s="631">
        <v>6.281407035175879</v>
      </c>
      <c r="DR15" s="628">
        <v>0.6693996297275853</v>
      </c>
      <c r="DS15" s="395"/>
      <c r="DT15" s="485">
        <f t="shared" si="13"/>
        <v>1</v>
      </c>
      <c r="DU15" s="486"/>
      <c r="DV15" s="477">
        <v>1</v>
      </c>
      <c r="DW15" s="486"/>
      <c r="DX15" s="486"/>
      <c r="DY15" s="477">
        <v>1</v>
      </c>
      <c r="DZ15" s="486"/>
      <c r="EA15" s="486"/>
      <c r="EB15" s="477">
        <v>1</v>
      </c>
      <c r="EC15" s="486"/>
      <c r="ED15" s="486"/>
      <c r="EE15" s="477">
        <v>1</v>
      </c>
      <c r="EF15" s="486"/>
      <c r="EG15" s="486"/>
      <c r="EH15" s="477">
        <v>1</v>
      </c>
      <c r="EI15" s="486"/>
      <c r="EJ15" s="486"/>
      <c r="EK15" s="477">
        <v>1</v>
      </c>
      <c r="EL15" s="486"/>
      <c r="EM15" s="486"/>
      <c r="EN15" s="477"/>
      <c r="EO15" s="431"/>
      <c r="EP15" s="431"/>
      <c r="EQ15" s="477"/>
      <c r="ER15" s="431">
        <f t="shared" si="32"/>
        <v>19.972742967342043</v>
      </c>
      <c r="ES15" s="395">
        <v>14</v>
      </c>
      <c r="ET15" s="431" t="s">
        <v>117</v>
      </c>
      <c r="EU15" s="80"/>
      <c r="EV15" s="54">
        <v>22.89823777907702</v>
      </c>
      <c r="EW15" s="54">
        <v>19</v>
      </c>
      <c r="EX15" s="54">
        <v>1.552704073700215</v>
      </c>
      <c r="EY15" s="54" t="s">
        <v>116</v>
      </c>
      <c r="EZ15" s="440">
        <f t="shared" si="14"/>
        <v>6.281407035175879</v>
      </c>
    </row>
    <row r="16" spans="1:156" s="54" customFormat="1" ht="18.75">
      <c r="A16" s="474">
        <v>7</v>
      </c>
      <c r="B16" s="488" t="s">
        <v>124</v>
      </c>
      <c r="C16" s="635">
        <v>0</v>
      </c>
      <c r="D16" s="628">
        <v>1</v>
      </c>
      <c r="E16" s="476"/>
      <c r="F16" s="477">
        <v>1</v>
      </c>
      <c r="G16" s="500">
        <v>3051.40002</v>
      </c>
      <c r="H16" s="498">
        <v>3371.7479099999996</v>
      </c>
      <c r="I16" s="432">
        <f t="shared" si="43"/>
        <v>-0.10498390506007782</v>
      </c>
      <c r="J16" s="479">
        <v>0</v>
      </c>
      <c r="K16" s="564">
        <v>5527.74256</v>
      </c>
      <c r="L16" s="546">
        <v>14098.93315</v>
      </c>
      <c r="M16" s="61">
        <f t="shared" si="0"/>
        <v>0.3920681445319144</v>
      </c>
      <c r="N16" s="480">
        <v>0.5</v>
      </c>
      <c r="O16" s="564">
        <v>5527.74256</v>
      </c>
      <c r="P16" s="565">
        <v>7375.182</v>
      </c>
      <c r="Q16" s="58">
        <f t="shared" si="42"/>
        <v>0.7495059186336012</v>
      </c>
      <c r="R16" s="547">
        <v>1</v>
      </c>
      <c r="S16" s="564">
        <f>5527.74256-798.70515</f>
        <v>4729.03741</v>
      </c>
      <c r="T16" s="546"/>
      <c r="U16" s="564">
        <f>2389.74212-666.65049</f>
        <v>1723.09163</v>
      </c>
      <c r="V16" s="491">
        <f t="shared" si="15"/>
        <v>2.74450721462793</v>
      </c>
      <c r="W16" s="35">
        <f t="shared" si="16"/>
        <v>1</v>
      </c>
      <c r="X16" s="549">
        <v>1844.88783</v>
      </c>
      <c r="Y16" s="549">
        <v>1764.24785</v>
      </c>
      <c r="Z16" s="492">
        <f t="shared" si="34"/>
        <v>0.9562900363432936</v>
      </c>
      <c r="AA16" s="550">
        <f t="shared" si="1"/>
        <v>0.04370996365670643</v>
      </c>
      <c r="AB16" s="549">
        <v>1764.24785</v>
      </c>
      <c r="AC16" s="551">
        <f>5527.74256-260.55183-120.35701-2717</f>
        <v>2429.8337199999996</v>
      </c>
      <c r="AD16" s="61">
        <f t="shared" si="35"/>
        <v>0.72607760583716</v>
      </c>
      <c r="AE16" s="552">
        <f t="shared" si="17"/>
        <v>0.27392239416284003</v>
      </c>
      <c r="AF16" s="553">
        <v>8466.69059</v>
      </c>
      <c r="AG16" s="546">
        <v>14098.93315</v>
      </c>
      <c r="AH16" s="601">
        <v>295.00927</v>
      </c>
      <c r="AI16" s="58">
        <f>AF16/(AG16-AH16)*100%</f>
        <v>0.61335390310773</v>
      </c>
      <c r="AJ16" s="555">
        <v>0.5</v>
      </c>
      <c r="AK16" s="557">
        <v>-216.2654</v>
      </c>
      <c r="AL16" s="557">
        <v>-332.78425</v>
      </c>
      <c r="AM16" s="557">
        <v>-116.5</v>
      </c>
      <c r="AN16" s="480">
        <v>1</v>
      </c>
      <c r="AO16" s="567">
        <v>3711.3</v>
      </c>
      <c r="AP16" s="573">
        <v>4659.2</v>
      </c>
      <c r="AQ16" s="432">
        <f t="shared" si="37"/>
        <v>0.7965530563186813</v>
      </c>
      <c r="AR16" s="395">
        <v>1</v>
      </c>
      <c r="AS16" s="431"/>
      <c r="AT16" s="605"/>
      <c r="AU16" s="543">
        <v>17300.53</v>
      </c>
      <c r="AV16" s="575">
        <v>6022.7</v>
      </c>
      <c r="AW16" s="432">
        <f t="shared" si="18"/>
        <v>0.34812228295896136</v>
      </c>
      <c r="AX16" s="577">
        <v>1</v>
      </c>
      <c r="AY16" s="567">
        <v>3687</v>
      </c>
      <c r="AZ16" s="580">
        <f t="shared" si="19"/>
        <v>99.34524290679815</v>
      </c>
      <c r="BA16" s="580">
        <f t="shared" si="20"/>
        <v>61.21839042290003</v>
      </c>
      <c r="BB16" s="581">
        <v>0.5</v>
      </c>
      <c r="BC16" s="581">
        <v>1</v>
      </c>
      <c r="BD16" s="586">
        <v>4748</v>
      </c>
      <c r="BE16" s="584">
        <f t="shared" si="21"/>
        <v>17300.53</v>
      </c>
      <c r="BF16" s="585">
        <f t="shared" si="22"/>
        <v>44.51904736740012</v>
      </c>
      <c r="BG16" s="577">
        <v>0</v>
      </c>
      <c r="BH16" s="581">
        <f>BE16*100/BE51</f>
        <v>2.1365830762586</v>
      </c>
      <c r="BI16" s="431">
        <f t="shared" si="2"/>
        <v>14.397380971627195</v>
      </c>
      <c r="BJ16" s="431">
        <f t="shared" si="3"/>
        <v>3.0885180974224493</v>
      </c>
      <c r="BK16" s="580">
        <v>534.33</v>
      </c>
      <c r="BL16" s="431">
        <f t="shared" si="23"/>
        <v>4748</v>
      </c>
      <c r="BM16" s="432">
        <f t="shared" si="24"/>
        <v>0.08079598131377053</v>
      </c>
      <c r="BN16" s="577">
        <v>0</v>
      </c>
      <c r="BO16" s="591">
        <v>9162.58</v>
      </c>
      <c r="BP16" s="591">
        <v>4477.8</v>
      </c>
      <c r="BQ16" s="431">
        <f t="shared" si="38"/>
        <v>48.87051463670713</v>
      </c>
      <c r="BR16" s="432">
        <f t="shared" si="39"/>
        <v>0.4887051463670713</v>
      </c>
      <c r="BS16" s="585">
        <v>0</v>
      </c>
      <c r="BT16" s="594">
        <f t="shared" si="25"/>
        <v>17300.53</v>
      </c>
      <c r="BU16" s="597">
        <v>1</v>
      </c>
      <c r="BV16" s="598">
        <v>1</v>
      </c>
      <c r="BW16" s="600">
        <v>13.21695931477516</v>
      </c>
      <c r="BX16" s="622">
        <v>0.8678304068522484</v>
      </c>
      <c r="BY16" s="627">
        <v>0</v>
      </c>
      <c r="BZ16" s="628">
        <f t="shared" si="40"/>
        <v>1</v>
      </c>
      <c r="CA16" s="638">
        <v>0</v>
      </c>
      <c r="CB16" s="42">
        <f t="shared" si="26"/>
        <v>1</v>
      </c>
      <c r="CC16" s="561">
        <v>0</v>
      </c>
      <c r="CD16" s="559">
        <f t="shared" si="27"/>
        <v>1</v>
      </c>
      <c r="CE16" s="395">
        <v>0</v>
      </c>
      <c r="CF16" s="395">
        <v>1</v>
      </c>
      <c r="CG16" s="395">
        <v>0</v>
      </c>
      <c r="CH16" s="431">
        <v>1</v>
      </c>
      <c r="CI16" s="395">
        <v>0</v>
      </c>
      <c r="CJ16" s="395">
        <v>1</v>
      </c>
      <c r="CK16" s="431">
        <v>0</v>
      </c>
      <c r="CL16" s="563">
        <v>1</v>
      </c>
      <c r="CM16" s="430">
        <f t="shared" si="28"/>
        <v>0</v>
      </c>
      <c r="CN16" s="496">
        <f t="shared" si="29"/>
        <v>1</v>
      </c>
      <c r="CO16" s="433">
        <v>0</v>
      </c>
      <c r="CP16" s="483">
        <f t="shared" si="4"/>
        <v>1</v>
      </c>
      <c r="CQ16" s="431">
        <v>0</v>
      </c>
      <c r="CR16" s="431">
        <f t="shared" si="5"/>
        <v>1</v>
      </c>
      <c r="CS16" s="395">
        <v>0</v>
      </c>
      <c r="CT16" s="477">
        <f t="shared" si="6"/>
        <v>1</v>
      </c>
      <c r="CU16" s="395">
        <v>0</v>
      </c>
      <c r="CV16" s="481">
        <f t="shared" si="7"/>
        <v>1</v>
      </c>
      <c r="CW16" s="476">
        <v>0</v>
      </c>
      <c r="CX16" s="477">
        <f t="shared" si="8"/>
        <v>1</v>
      </c>
      <c r="CY16" s="627">
        <v>0</v>
      </c>
      <c r="CZ16" s="628">
        <f t="shared" si="41"/>
        <v>1</v>
      </c>
      <c r="DA16" s="646">
        <v>0</v>
      </c>
      <c r="DB16" s="477">
        <f t="shared" si="9"/>
        <v>1</v>
      </c>
      <c r="DC16" s="484"/>
      <c r="DD16" s="477">
        <f t="shared" si="10"/>
        <v>1</v>
      </c>
      <c r="DE16" s="563">
        <v>1</v>
      </c>
      <c r="DF16" s="559">
        <f t="shared" si="30"/>
        <v>0.5</v>
      </c>
      <c r="DG16" s="561">
        <v>0</v>
      </c>
      <c r="DH16" s="559">
        <f t="shared" si="31"/>
        <v>1</v>
      </c>
      <c r="DI16" s="433"/>
      <c r="DJ16" s="477">
        <f t="shared" si="11"/>
        <v>1</v>
      </c>
      <c r="DK16" s="395">
        <v>0</v>
      </c>
      <c r="DL16" s="431">
        <v>1</v>
      </c>
      <c r="DM16" s="561">
        <v>0</v>
      </c>
      <c r="DN16" s="559">
        <v>1</v>
      </c>
      <c r="DO16" s="395"/>
      <c r="DP16" s="508">
        <f t="shared" si="12"/>
        <v>1</v>
      </c>
      <c r="DQ16" s="631">
        <v>2.1459227467811157</v>
      </c>
      <c r="DR16" s="628">
        <v>0.887056697537836</v>
      </c>
      <c r="DS16" s="395"/>
      <c r="DT16" s="485">
        <f t="shared" si="13"/>
        <v>1</v>
      </c>
      <c r="DU16" s="486"/>
      <c r="DV16" s="477">
        <v>1</v>
      </c>
      <c r="DW16" s="486"/>
      <c r="DX16" s="486"/>
      <c r="DY16" s="477">
        <v>1</v>
      </c>
      <c r="DZ16" s="486"/>
      <c r="EA16" s="486"/>
      <c r="EB16" s="477">
        <v>1</v>
      </c>
      <c r="EC16" s="486"/>
      <c r="ED16" s="486"/>
      <c r="EE16" s="477">
        <v>1</v>
      </c>
      <c r="EF16" s="486"/>
      <c r="EG16" s="486"/>
      <c r="EH16" s="477">
        <v>1</v>
      </c>
      <c r="EI16" s="486"/>
      <c r="EJ16" s="486"/>
      <c r="EK16" s="477">
        <v>1</v>
      </c>
      <c r="EL16" s="486"/>
      <c r="EM16" s="486"/>
      <c r="EN16" s="477"/>
      <c r="EO16" s="431"/>
      <c r="EP16" s="431"/>
      <c r="EQ16" s="477"/>
      <c r="ER16" s="431">
        <f t="shared" si="32"/>
        <v>19.57251946220963</v>
      </c>
      <c r="ES16" s="395">
        <v>18</v>
      </c>
      <c r="ET16" s="431" t="s">
        <v>117</v>
      </c>
      <c r="EU16" s="80"/>
      <c r="EV16" s="54">
        <v>23.68286464453358</v>
      </c>
      <c r="EW16" s="54">
        <v>2</v>
      </c>
      <c r="EX16" s="54">
        <v>1.552704073700215</v>
      </c>
      <c r="EY16" s="54" t="s">
        <v>119</v>
      </c>
      <c r="EZ16" s="440">
        <f t="shared" si="14"/>
        <v>2.1459227467811157</v>
      </c>
    </row>
    <row r="17" spans="1:156" s="54" customFormat="1" ht="18.75">
      <c r="A17" s="474">
        <v>8</v>
      </c>
      <c r="B17" s="488" t="s">
        <v>125</v>
      </c>
      <c r="C17" s="635">
        <v>0</v>
      </c>
      <c r="D17" s="628">
        <v>1</v>
      </c>
      <c r="E17" s="476"/>
      <c r="F17" s="477">
        <v>1</v>
      </c>
      <c r="G17" s="500">
        <v>4716</v>
      </c>
      <c r="H17" s="498">
        <v>5010.73214</v>
      </c>
      <c r="I17" s="432">
        <f>(G17-H17)/G17*100%</f>
        <v>-0.06249621289228161</v>
      </c>
      <c r="J17" s="479">
        <v>0</v>
      </c>
      <c r="K17" s="564">
        <v>19971.60075</v>
      </c>
      <c r="L17" s="546">
        <v>26072.98327</v>
      </c>
      <c r="M17" s="61">
        <f t="shared" si="0"/>
        <v>0.7659883237442817</v>
      </c>
      <c r="N17" s="480">
        <v>1</v>
      </c>
      <c r="O17" s="564">
        <v>19971.60075</v>
      </c>
      <c r="P17" s="565">
        <v>22141.01538</v>
      </c>
      <c r="Q17" s="58">
        <f t="shared" si="42"/>
        <v>0.902018286299569</v>
      </c>
      <c r="R17" s="547">
        <v>1</v>
      </c>
      <c r="S17" s="564">
        <f>19971.60075-931.006</f>
        <v>19040.59475</v>
      </c>
      <c r="T17" s="546"/>
      <c r="U17" s="564">
        <f>9856.82784-772.33903</f>
        <v>9084.48881</v>
      </c>
      <c r="V17" s="491">
        <f t="shared" si="15"/>
        <v>2.0959456440785686</v>
      </c>
      <c r="W17" s="35">
        <f t="shared" si="16"/>
        <v>1</v>
      </c>
      <c r="X17" s="549">
        <v>705.21233</v>
      </c>
      <c r="Y17" s="549">
        <v>430.34046</v>
      </c>
      <c r="Z17" s="492">
        <f t="shared" si="34"/>
        <v>0.6102282131113619</v>
      </c>
      <c r="AA17" s="550">
        <f t="shared" si="1"/>
        <v>0.3897717868886381</v>
      </c>
      <c r="AB17" s="549">
        <v>430.34046</v>
      </c>
      <c r="AC17" s="551">
        <f>19971.60075-4206.92812-0.00117-7557.9</f>
        <v>8206.771460000002</v>
      </c>
      <c r="AD17" s="61">
        <f t="shared" si="35"/>
        <v>0.05243724186758332</v>
      </c>
      <c r="AE17" s="552">
        <f t="shared" si="17"/>
        <v>0.9475627581324166</v>
      </c>
      <c r="AF17" s="553">
        <v>6101.38252</v>
      </c>
      <c r="AG17" s="546">
        <v>26072.98327</v>
      </c>
      <c r="AH17" s="601">
        <v>215.88862</v>
      </c>
      <c r="AI17" s="58">
        <f>AF17/(AG17-AH17)*100%</f>
        <v>0.23596550976000702</v>
      </c>
      <c r="AJ17" s="555">
        <v>1</v>
      </c>
      <c r="AK17" s="557">
        <v>-1086.86198</v>
      </c>
      <c r="AL17" s="557">
        <v>-1931.32457</v>
      </c>
      <c r="AM17" s="557">
        <v>-844.4</v>
      </c>
      <c r="AN17" s="480">
        <v>1</v>
      </c>
      <c r="AO17" s="567">
        <v>3920.73</v>
      </c>
      <c r="AP17" s="573">
        <v>4000.3</v>
      </c>
      <c r="AQ17" s="432">
        <f t="shared" si="37"/>
        <v>0.9801089918256131</v>
      </c>
      <c r="AR17" s="395">
        <v>1</v>
      </c>
      <c r="AS17" s="431"/>
      <c r="AT17" s="605"/>
      <c r="AU17" s="543">
        <v>32156.08</v>
      </c>
      <c r="AV17" s="575">
        <v>7983.08</v>
      </c>
      <c r="AW17" s="432">
        <f t="shared" si="18"/>
        <v>0.24826036009364325</v>
      </c>
      <c r="AX17" s="577">
        <v>1</v>
      </c>
      <c r="AY17" s="567">
        <v>3896.43</v>
      </c>
      <c r="AZ17" s="580">
        <f t="shared" si="19"/>
        <v>99.38021745950371</v>
      </c>
      <c r="BA17" s="580">
        <f t="shared" si="20"/>
        <v>48.808605199998</v>
      </c>
      <c r="BB17" s="581">
        <v>0.5</v>
      </c>
      <c r="BC17" s="581">
        <v>1</v>
      </c>
      <c r="BD17" s="586">
        <v>2900</v>
      </c>
      <c r="BE17" s="584">
        <f t="shared" si="21"/>
        <v>32156.08</v>
      </c>
      <c r="BF17" s="585">
        <f t="shared" si="22"/>
        <v>135.4759694741806</v>
      </c>
      <c r="BG17" s="577">
        <v>1</v>
      </c>
      <c r="BH17" s="581">
        <f>BE17*100/BE20</f>
        <v>226.53326626680362</v>
      </c>
      <c r="BI17" s="431">
        <f t="shared" si="2"/>
        <v>249.6637105845085</v>
      </c>
      <c r="BJ17" s="431">
        <f t="shared" si="3"/>
        <v>30.441023905898977</v>
      </c>
      <c r="BK17" s="580">
        <v>9788.64</v>
      </c>
      <c r="BL17" s="431">
        <f t="shared" si="23"/>
        <v>2900</v>
      </c>
      <c r="BM17" s="432">
        <f t="shared" si="24"/>
        <v>2.423345132483201</v>
      </c>
      <c r="BN17" s="577">
        <v>1</v>
      </c>
      <c r="BO17" s="592">
        <v>8629.37</v>
      </c>
      <c r="BP17" s="592">
        <v>5505.68</v>
      </c>
      <c r="BQ17" s="431">
        <f t="shared" si="38"/>
        <v>63.80164484776988</v>
      </c>
      <c r="BR17" s="432">
        <f t="shared" si="39"/>
        <v>0.6380164484776988</v>
      </c>
      <c r="BS17" s="585">
        <v>0</v>
      </c>
      <c r="BT17" s="594">
        <f t="shared" si="25"/>
        <v>32156.08</v>
      </c>
      <c r="BU17" s="597">
        <v>1</v>
      </c>
      <c r="BV17" s="598">
        <v>1</v>
      </c>
      <c r="BW17" s="600">
        <v>0</v>
      </c>
      <c r="BX17" s="622">
        <v>1</v>
      </c>
      <c r="BY17" s="627">
        <v>0</v>
      </c>
      <c r="BZ17" s="628">
        <f t="shared" si="40"/>
        <v>1</v>
      </c>
      <c r="CA17" s="638">
        <v>0</v>
      </c>
      <c r="CB17" s="42">
        <f t="shared" si="26"/>
        <v>1</v>
      </c>
      <c r="CC17" s="561">
        <v>0</v>
      </c>
      <c r="CD17" s="559">
        <f t="shared" si="27"/>
        <v>1</v>
      </c>
      <c r="CE17" s="395">
        <v>0</v>
      </c>
      <c r="CF17" s="395">
        <v>1</v>
      </c>
      <c r="CG17" s="395">
        <v>0</v>
      </c>
      <c r="CH17" s="431">
        <v>1</v>
      </c>
      <c r="CI17" s="395">
        <v>0</v>
      </c>
      <c r="CJ17" s="395">
        <v>1</v>
      </c>
      <c r="CK17" s="431">
        <v>0</v>
      </c>
      <c r="CL17" s="563">
        <v>1</v>
      </c>
      <c r="CM17" s="430">
        <f t="shared" si="28"/>
        <v>0</v>
      </c>
      <c r="CN17" s="496">
        <f t="shared" si="29"/>
        <v>1</v>
      </c>
      <c r="CO17" s="433">
        <v>0</v>
      </c>
      <c r="CP17" s="483">
        <f t="shared" si="4"/>
        <v>1</v>
      </c>
      <c r="CQ17" s="431">
        <v>0</v>
      </c>
      <c r="CR17" s="431">
        <f t="shared" si="5"/>
        <v>1</v>
      </c>
      <c r="CS17" s="395">
        <v>0</v>
      </c>
      <c r="CT17" s="477">
        <f t="shared" si="6"/>
        <v>1</v>
      </c>
      <c r="CU17" s="395">
        <v>0</v>
      </c>
      <c r="CV17" s="481">
        <f t="shared" si="7"/>
        <v>1</v>
      </c>
      <c r="CW17" s="476">
        <v>0</v>
      </c>
      <c r="CX17" s="477">
        <f t="shared" si="8"/>
        <v>1</v>
      </c>
      <c r="CY17" s="627">
        <v>0</v>
      </c>
      <c r="CZ17" s="628">
        <f t="shared" si="41"/>
        <v>1</v>
      </c>
      <c r="DA17" s="646">
        <v>0</v>
      </c>
      <c r="DB17" s="477">
        <f t="shared" si="9"/>
        <v>1</v>
      </c>
      <c r="DC17" s="484"/>
      <c r="DD17" s="477">
        <f t="shared" si="10"/>
        <v>1</v>
      </c>
      <c r="DE17" s="563">
        <v>1</v>
      </c>
      <c r="DF17" s="559">
        <f t="shared" si="30"/>
        <v>0.5</v>
      </c>
      <c r="DG17" s="561">
        <f>1+1+1</f>
        <v>3</v>
      </c>
      <c r="DH17" s="559">
        <f t="shared" si="31"/>
        <v>0.625</v>
      </c>
      <c r="DI17" s="433"/>
      <c r="DJ17" s="477">
        <f t="shared" si="11"/>
        <v>1</v>
      </c>
      <c r="DK17" s="395">
        <v>0</v>
      </c>
      <c r="DL17" s="431">
        <v>1</v>
      </c>
      <c r="DM17" s="561">
        <v>0</v>
      </c>
      <c r="DN17" s="559">
        <v>1</v>
      </c>
      <c r="DO17" s="395"/>
      <c r="DP17" s="508">
        <f t="shared" si="12"/>
        <v>1</v>
      </c>
      <c r="DQ17" s="631">
        <v>3.2882011605415857</v>
      </c>
      <c r="DR17" s="628">
        <v>0.826936781024127</v>
      </c>
      <c r="DS17" s="395"/>
      <c r="DT17" s="485">
        <f t="shared" si="13"/>
        <v>1</v>
      </c>
      <c r="DU17" s="486"/>
      <c r="DV17" s="477">
        <v>1</v>
      </c>
      <c r="DW17" s="486"/>
      <c r="DX17" s="486"/>
      <c r="DY17" s="477">
        <v>1</v>
      </c>
      <c r="DZ17" s="486"/>
      <c r="EA17" s="486"/>
      <c r="EB17" s="477">
        <v>1</v>
      </c>
      <c r="EC17" s="486"/>
      <c r="ED17" s="486"/>
      <c r="EE17" s="477">
        <v>1</v>
      </c>
      <c r="EF17" s="486"/>
      <c r="EG17" s="486"/>
      <c r="EH17" s="477">
        <v>1</v>
      </c>
      <c r="EI17" s="486"/>
      <c r="EJ17" s="486"/>
      <c r="EK17" s="477">
        <v>0</v>
      </c>
      <c r="EL17" s="486"/>
      <c r="EM17" s="486"/>
      <c r="EN17" s="477"/>
      <c r="EO17" s="431"/>
      <c r="EP17" s="431"/>
      <c r="EQ17" s="477"/>
      <c r="ER17" s="431">
        <f t="shared" si="32"/>
        <v>23.66427132604518</v>
      </c>
      <c r="ES17" s="395">
        <v>1</v>
      </c>
      <c r="ET17" s="477" t="s">
        <v>119</v>
      </c>
      <c r="EV17" s="54">
        <v>21.97765124385201</v>
      </c>
      <c r="EW17" s="54">
        <v>11</v>
      </c>
      <c r="EX17" s="54">
        <v>1.552704073700215</v>
      </c>
      <c r="EY17" s="54" t="s">
        <v>117</v>
      </c>
      <c r="EZ17" s="440">
        <f t="shared" si="14"/>
        <v>3.2882011605415857</v>
      </c>
    </row>
    <row r="18" spans="1:156" s="54" customFormat="1" ht="18.75">
      <c r="A18" s="474">
        <v>9</v>
      </c>
      <c r="B18" s="488" t="s">
        <v>126</v>
      </c>
      <c r="C18" s="635">
        <v>0</v>
      </c>
      <c r="D18" s="628">
        <v>1</v>
      </c>
      <c r="E18" s="476"/>
      <c r="F18" s="477">
        <v>1</v>
      </c>
      <c r="G18" s="500">
        <v>7123.39865</v>
      </c>
      <c r="H18" s="498">
        <v>6954.324020000001</v>
      </c>
      <c r="I18" s="432">
        <f t="shared" si="43"/>
        <v>0.023735107117723808</v>
      </c>
      <c r="J18" s="479">
        <f>1-(I18/20)</f>
        <v>0.9988132446441138</v>
      </c>
      <c r="K18" s="564">
        <v>7664.5176</v>
      </c>
      <c r="L18" s="546">
        <v>11439.01403</v>
      </c>
      <c r="M18" s="61">
        <f t="shared" si="0"/>
        <v>0.6700330622813302</v>
      </c>
      <c r="N18" s="480">
        <v>0.8</v>
      </c>
      <c r="O18" s="564">
        <v>7664.5176</v>
      </c>
      <c r="P18" s="565">
        <v>12490.41896</v>
      </c>
      <c r="Q18" s="58">
        <f t="shared" si="42"/>
        <v>0.6136317464246211</v>
      </c>
      <c r="R18" s="547">
        <f t="shared" si="33"/>
        <v>0.8766167806066018</v>
      </c>
      <c r="S18" s="564">
        <f>7664.5176-1808.11163</f>
        <v>5856.40597</v>
      </c>
      <c r="T18" s="546"/>
      <c r="U18" s="564">
        <f>4267.02729-1512.1584</f>
        <v>2754.8688899999997</v>
      </c>
      <c r="V18" s="491">
        <f t="shared" si="15"/>
        <v>2.1258383624928157</v>
      </c>
      <c r="W18" s="35">
        <f t="shared" si="16"/>
        <v>1</v>
      </c>
      <c r="X18" s="549">
        <v>2958.01669</v>
      </c>
      <c r="Y18" s="549">
        <v>2330.02889</v>
      </c>
      <c r="Z18" s="492">
        <f t="shared" si="34"/>
        <v>0.7876997103758735</v>
      </c>
      <c r="AA18" s="550">
        <f t="shared" si="1"/>
        <v>0.2123002896241265</v>
      </c>
      <c r="AB18" s="549">
        <v>2330.02889</v>
      </c>
      <c r="AC18" s="551">
        <f>7664.5176-289.98369-341.39777-138.80118</f>
        <v>6894.33496</v>
      </c>
      <c r="AD18" s="61">
        <f t="shared" si="35"/>
        <v>0.337962820709831</v>
      </c>
      <c r="AE18" s="552">
        <f t="shared" si="17"/>
        <v>0.6620371792901689</v>
      </c>
      <c r="AF18" s="553">
        <v>3751.21643</v>
      </c>
      <c r="AG18" s="546">
        <v>11439.01403</v>
      </c>
      <c r="AH18" s="601">
        <v>350.25712</v>
      </c>
      <c r="AI18" s="58">
        <f t="shared" si="36"/>
        <v>0.33829007709755987</v>
      </c>
      <c r="AJ18" s="555">
        <v>0.8</v>
      </c>
      <c r="AK18" s="557">
        <v>-988.75494</v>
      </c>
      <c r="AL18" s="557">
        <v>-364.7511</v>
      </c>
      <c r="AM18" s="557">
        <v>624</v>
      </c>
      <c r="AN18" s="480">
        <v>0</v>
      </c>
      <c r="AO18" s="567">
        <v>3287.1</v>
      </c>
      <c r="AP18" s="573">
        <v>4700.4</v>
      </c>
      <c r="AQ18" s="432">
        <f t="shared" si="37"/>
        <v>0.6993234618330355</v>
      </c>
      <c r="AR18" s="395">
        <v>1</v>
      </c>
      <c r="AS18" s="431"/>
      <c r="AT18" s="605"/>
      <c r="AU18" s="543">
        <v>82005.11</v>
      </c>
      <c r="AV18" s="575">
        <v>7881.36</v>
      </c>
      <c r="AW18" s="432">
        <f t="shared" si="18"/>
        <v>0.09610815716240122</v>
      </c>
      <c r="AX18" s="577">
        <v>1</v>
      </c>
      <c r="AY18" s="567">
        <v>3262.8</v>
      </c>
      <c r="AZ18" s="580">
        <f t="shared" si="19"/>
        <v>99.26074655471389</v>
      </c>
      <c r="BA18" s="580">
        <f t="shared" si="20"/>
        <v>41.398946374737356</v>
      </c>
      <c r="BB18" s="581">
        <v>0.5</v>
      </c>
      <c r="BC18" s="581">
        <v>1</v>
      </c>
      <c r="BD18" s="586">
        <v>4792</v>
      </c>
      <c r="BE18" s="584">
        <f t="shared" si="21"/>
        <v>82005.11</v>
      </c>
      <c r="BF18" s="585">
        <f t="shared" si="22"/>
        <v>209.08422679020458</v>
      </c>
      <c r="BG18" s="577">
        <v>0</v>
      </c>
      <c r="BH18" s="581">
        <f>BE18*100/BE49</f>
        <v>10.127477608646952</v>
      </c>
      <c r="BI18" s="431">
        <f t="shared" si="2"/>
        <v>123.62386297952602</v>
      </c>
      <c r="BJ18" s="431">
        <f t="shared" si="3"/>
        <v>4.955349733693424</v>
      </c>
      <c r="BK18" s="580">
        <v>4063.64</v>
      </c>
      <c r="BL18" s="431">
        <f t="shared" si="23"/>
        <v>4792</v>
      </c>
      <c r="BM18" s="432">
        <f t="shared" si="24"/>
        <v>0.608820586615613</v>
      </c>
      <c r="BN18" s="577">
        <v>0</v>
      </c>
      <c r="BO18" s="593">
        <v>67892.85</v>
      </c>
      <c r="BP18" s="593">
        <v>2745.96</v>
      </c>
      <c r="BQ18" s="431">
        <f t="shared" si="38"/>
        <v>4.0445496101577705</v>
      </c>
      <c r="BR18" s="432">
        <f t="shared" si="39"/>
        <v>0.0404454961015777</v>
      </c>
      <c r="BS18" s="585">
        <v>0</v>
      </c>
      <c r="BT18" s="594">
        <f t="shared" si="25"/>
        <v>82005.11</v>
      </c>
      <c r="BU18" s="597">
        <v>1</v>
      </c>
      <c r="BV18" s="598">
        <v>1</v>
      </c>
      <c r="BW18" s="600">
        <v>15</v>
      </c>
      <c r="BX18" s="622">
        <v>0.85</v>
      </c>
      <c r="BY18" s="627">
        <v>0</v>
      </c>
      <c r="BZ18" s="628">
        <f t="shared" si="40"/>
        <v>1</v>
      </c>
      <c r="CA18" s="638">
        <v>0</v>
      </c>
      <c r="CB18" s="42">
        <f t="shared" si="26"/>
        <v>1</v>
      </c>
      <c r="CC18" s="561">
        <v>0</v>
      </c>
      <c r="CD18" s="559">
        <f t="shared" si="27"/>
        <v>1</v>
      </c>
      <c r="CE18" s="395">
        <v>0</v>
      </c>
      <c r="CF18" s="395">
        <v>1</v>
      </c>
      <c r="CG18" s="395">
        <v>0</v>
      </c>
      <c r="CH18" s="431">
        <v>1</v>
      </c>
      <c r="CI18" s="395">
        <v>0</v>
      </c>
      <c r="CJ18" s="395">
        <v>1</v>
      </c>
      <c r="CK18" s="431">
        <v>0</v>
      </c>
      <c r="CL18" s="563">
        <v>1</v>
      </c>
      <c r="CM18" s="430">
        <f t="shared" si="28"/>
        <v>0</v>
      </c>
      <c r="CN18" s="496">
        <f t="shared" si="29"/>
        <v>1</v>
      </c>
      <c r="CO18" s="433">
        <v>0</v>
      </c>
      <c r="CP18" s="483">
        <f t="shared" si="4"/>
        <v>1</v>
      </c>
      <c r="CQ18" s="431">
        <v>0</v>
      </c>
      <c r="CR18" s="431">
        <f t="shared" si="5"/>
        <v>1</v>
      </c>
      <c r="CS18" s="395">
        <v>0</v>
      </c>
      <c r="CT18" s="477">
        <f t="shared" si="6"/>
        <v>1</v>
      </c>
      <c r="CU18" s="395">
        <v>0</v>
      </c>
      <c r="CV18" s="481">
        <f t="shared" si="7"/>
        <v>1</v>
      </c>
      <c r="CW18" s="476">
        <v>0</v>
      </c>
      <c r="CX18" s="477">
        <f t="shared" si="8"/>
        <v>1</v>
      </c>
      <c r="CY18" s="627">
        <v>0</v>
      </c>
      <c r="CZ18" s="628">
        <f t="shared" si="41"/>
        <v>1</v>
      </c>
      <c r="DA18" s="646">
        <v>0</v>
      </c>
      <c r="DB18" s="477">
        <f t="shared" si="9"/>
        <v>1</v>
      </c>
      <c r="DC18" s="484"/>
      <c r="DD18" s="477">
        <f t="shared" si="10"/>
        <v>1</v>
      </c>
      <c r="DE18" s="563">
        <v>0</v>
      </c>
      <c r="DF18" s="559">
        <f t="shared" si="30"/>
        <v>1</v>
      </c>
      <c r="DG18" s="561">
        <v>1</v>
      </c>
      <c r="DH18" s="559">
        <f t="shared" si="31"/>
        <v>0.875</v>
      </c>
      <c r="DI18" s="433"/>
      <c r="DJ18" s="477">
        <f t="shared" si="11"/>
        <v>1</v>
      </c>
      <c r="DK18" s="395">
        <v>0</v>
      </c>
      <c r="DL18" s="431">
        <v>1</v>
      </c>
      <c r="DM18" s="561">
        <v>0</v>
      </c>
      <c r="DN18" s="559">
        <v>1</v>
      </c>
      <c r="DO18" s="395"/>
      <c r="DP18" s="508">
        <f t="shared" si="12"/>
        <v>1</v>
      </c>
      <c r="DQ18" s="631">
        <v>2.6246719160104988</v>
      </c>
      <c r="DR18" s="628">
        <v>0.8618593728415527</v>
      </c>
      <c r="DS18" s="395"/>
      <c r="DT18" s="485">
        <f t="shared" si="13"/>
        <v>1</v>
      </c>
      <c r="DU18" s="486"/>
      <c r="DV18" s="477">
        <v>1</v>
      </c>
      <c r="DW18" s="486"/>
      <c r="DX18" s="486"/>
      <c r="DY18" s="477">
        <v>1</v>
      </c>
      <c r="DZ18" s="486"/>
      <c r="EA18" s="486"/>
      <c r="EB18" s="477">
        <v>1</v>
      </c>
      <c r="EC18" s="486"/>
      <c r="ED18" s="486"/>
      <c r="EE18" s="477">
        <v>1</v>
      </c>
      <c r="EF18" s="486"/>
      <c r="EG18" s="486"/>
      <c r="EH18" s="477">
        <v>1</v>
      </c>
      <c r="EI18" s="486"/>
      <c r="EJ18" s="486"/>
      <c r="EK18" s="477">
        <v>1</v>
      </c>
      <c r="EL18" s="486"/>
      <c r="EM18" s="486"/>
      <c r="EN18" s="477"/>
      <c r="EO18" s="431"/>
      <c r="EP18" s="431"/>
      <c r="EQ18" s="477"/>
      <c r="ER18" s="431">
        <f t="shared" si="32"/>
        <v>19.562813622362448</v>
      </c>
      <c r="ES18" s="395">
        <v>19</v>
      </c>
      <c r="ET18" s="431" t="s">
        <v>117</v>
      </c>
      <c r="EV18" s="54">
        <v>21.197252457964836</v>
      </c>
      <c r="EW18" s="54">
        <v>15</v>
      </c>
      <c r="EX18" s="54">
        <v>1.552704073700215</v>
      </c>
      <c r="EY18" s="54" t="s">
        <v>117</v>
      </c>
      <c r="EZ18" s="440">
        <f t="shared" si="14"/>
        <v>2.6246719160104988</v>
      </c>
    </row>
    <row r="19" spans="1:156" s="54" customFormat="1" ht="18.75">
      <c r="A19" s="474">
        <v>10</v>
      </c>
      <c r="B19" s="488" t="s">
        <v>127</v>
      </c>
      <c r="C19" s="635">
        <v>0</v>
      </c>
      <c r="D19" s="628">
        <v>1</v>
      </c>
      <c r="E19" s="476"/>
      <c r="F19" s="477">
        <v>1</v>
      </c>
      <c r="G19" s="500">
        <v>7244.1</v>
      </c>
      <c r="H19" s="498">
        <v>10716.03887</v>
      </c>
      <c r="I19" s="432">
        <f t="shared" si="43"/>
        <v>-0.4792781532557529</v>
      </c>
      <c r="J19" s="479">
        <v>0</v>
      </c>
      <c r="K19" s="564">
        <v>11383.57801</v>
      </c>
      <c r="L19" s="546">
        <v>18865.57295</v>
      </c>
      <c r="M19" s="61">
        <f t="shared" si="0"/>
        <v>0.6034048390775218</v>
      </c>
      <c r="N19" s="480">
        <v>0.8</v>
      </c>
      <c r="O19" s="564">
        <v>11383.57801</v>
      </c>
      <c r="P19" s="565">
        <v>17110.73985</v>
      </c>
      <c r="Q19" s="58">
        <f t="shared" si="42"/>
        <v>0.6652884743613233</v>
      </c>
      <c r="R19" s="547">
        <f t="shared" si="33"/>
        <v>0.9504121062304619</v>
      </c>
      <c r="S19" s="564">
        <f>11383.57801-2788.11797</f>
        <v>8595.46004</v>
      </c>
      <c r="T19" s="546"/>
      <c r="U19" s="564">
        <f>10521.21408-2329.21172</f>
        <v>8192.00236</v>
      </c>
      <c r="V19" s="491">
        <f t="shared" si="15"/>
        <v>1.0492501908898375</v>
      </c>
      <c r="W19" s="35">
        <f t="shared" si="16"/>
        <v>1</v>
      </c>
      <c r="X19" s="549">
        <v>1286.91049</v>
      </c>
      <c r="Y19" s="549">
        <v>1214.38226</v>
      </c>
      <c r="Z19" s="492">
        <f t="shared" si="34"/>
        <v>0.943641589245263</v>
      </c>
      <c r="AA19" s="550">
        <f t="shared" si="1"/>
        <v>0.05635841075473702</v>
      </c>
      <c r="AB19" s="549">
        <v>1214.38226</v>
      </c>
      <c r="AC19" s="551">
        <f>11383.57801-1261.35559-68.99462-5.9</f>
        <v>10047.327800000001</v>
      </c>
      <c r="AD19" s="61">
        <f t="shared" si="35"/>
        <v>0.12086619289956878</v>
      </c>
      <c r="AE19" s="552">
        <f t="shared" si="17"/>
        <v>0.8791338071004312</v>
      </c>
      <c r="AF19" s="553">
        <v>7459.99594</v>
      </c>
      <c r="AG19" s="546">
        <v>18865.57295</v>
      </c>
      <c r="AH19" s="601">
        <v>973.87641</v>
      </c>
      <c r="AI19" s="58">
        <f t="shared" si="36"/>
        <v>0.4169529660489088</v>
      </c>
      <c r="AJ19" s="555">
        <v>0.8</v>
      </c>
      <c r="AK19" s="557">
        <v>-454.74598</v>
      </c>
      <c r="AL19" s="557">
        <v>-2442.13328</v>
      </c>
      <c r="AM19" s="557">
        <v>-1987.4</v>
      </c>
      <c r="AN19" s="480">
        <v>1</v>
      </c>
      <c r="AO19" s="567">
        <v>6272.68</v>
      </c>
      <c r="AP19" s="573">
        <v>6965.3</v>
      </c>
      <c r="AQ19" s="432">
        <f t="shared" si="37"/>
        <v>0.900561354141243</v>
      </c>
      <c r="AR19" s="395">
        <v>1</v>
      </c>
      <c r="AS19" s="431"/>
      <c r="AT19" s="605"/>
      <c r="AU19" s="543">
        <v>27015.08</v>
      </c>
      <c r="AV19" s="575">
        <v>10975.28</v>
      </c>
      <c r="AW19" s="432">
        <f t="shared" si="18"/>
        <v>0.40626494535644536</v>
      </c>
      <c r="AX19" s="577">
        <v>1</v>
      </c>
      <c r="AY19" s="567">
        <v>6245.38</v>
      </c>
      <c r="AZ19" s="580">
        <f t="shared" si="19"/>
        <v>99.56477932877175</v>
      </c>
      <c r="BA19" s="580">
        <f t="shared" si="20"/>
        <v>56.90406076200333</v>
      </c>
      <c r="BB19" s="581">
        <v>0.5</v>
      </c>
      <c r="BC19" s="581">
        <v>1</v>
      </c>
      <c r="BD19" s="586">
        <v>12996</v>
      </c>
      <c r="BE19" s="584">
        <f t="shared" si="21"/>
        <v>27015.08</v>
      </c>
      <c r="BF19" s="585">
        <f t="shared" si="22"/>
        <v>25.397660894055285</v>
      </c>
      <c r="BG19" s="577">
        <v>0.7</v>
      </c>
      <c r="BH19" s="581">
        <f>BE19*100/BE64</f>
        <v>3.3363118200293385</v>
      </c>
      <c r="BI19" s="431">
        <f t="shared" si="2"/>
        <v>66.00480177531773</v>
      </c>
      <c r="BJ19" s="431">
        <f t="shared" si="3"/>
        <v>15.32577360496434</v>
      </c>
      <c r="BK19" s="580">
        <v>4140.27</v>
      </c>
      <c r="BL19" s="431">
        <f t="shared" si="23"/>
        <v>12996</v>
      </c>
      <c r="BM19" s="432">
        <f t="shared" si="24"/>
        <v>0.22872301808695608</v>
      </c>
      <c r="BN19" s="577">
        <v>0</v>
      </c>
      <c r="BO19" s="527">
        <v>8135.5</v>
      </c>
      <c r="BP19" s="527">
        <v>5173.16</v>
      </c>
      <c r="BQ19" s="431">
        <f t="shared" si="38"/>
        <v>63.587486939954516</v>
      </c>
      <c r="BR19" s="432">
        <f t="shared" si="39"/>
        <v>0.6358748693995452</v>
      </c>
      <c r="BS19" s="585">
        <v>0</v>
      </c>
      <c r="BT19" s="594">
        <f t="shared" si="25"/>
        <v>27015.08</v>
      </c>
      <c r="BU19" s="597">
        <v>1</v>
      </c>
      <c r="BV19" s="598">
        <v>1</v>
      </c>
      <c r="BW19" s="600">
        <v>9.300630900596103</v>
      </c>
      <c r="BX19" s="622">
        <v>0.906993690994039</v>
      </c>
      <c r="BY19" s="627">
        <v>0</v>
      </c>
      <c r="BZ19" s="628">
        <f t="shared" si="40"/>
        <v>1</v>
      </c>
      <c r="CA19" s="638">
        <v>0</v>
      </c>
      <c r="CB19" s="42">
        <f t="shared" si="26"/>
        <v>1</v>
      </c>
      <c r="CC19" s="561">
        <v>0</v>
      </c>
      <c r="CD19" s="559">
        <f t="shared" si="27"/>
        <v>1</v>
      </c>
      <c r="CE19" s="395">
        <v>0</v>
      </c>
      <c r="CF19" s="395">
        <v>1</v>
      </c>
      <c r="CG19" s="395">
        <v>0</v>
      </c>
      <c r="CH19" s="431">
        <v>1</v>
      </c>
      <c r="CI19" s="395">
        <v>0</v>
      </c>
      <c r="CJ19" s="395">
        <v>1</v>
      </c>
      <c r="CK19" s="431">
        <v>0</v>
      </c>
      <c r="CL19" s="563">
        <v>1</v>
      </c>
      <c r="CM19" s="430">
        <f t="shared" si="28"/>
        <v>0</v>
      </c>
      <c r="CN19" s="496">
        <f t="shared" si="29"/>
        <v>1</v>
      </c>
      <c r="CO19" s="433">
        <v>0</v>
      </c>
      <c r="CP19" s="483">
        <f t="shared" si="4"/>
        <v>1</v>
      </c>
      <c r="CQ19" s="431">
        <v>0</v>
      </c>
      <c r="CR19" s="431">
        <f t="shared" si="5"/>
        <v>1</v>
      </c>
      <c r="CS19" s="395">
        <v>0</v>
      </c>
      <c r="CT19" s="477">
        <f t="shared" si="6"/>
        <v>1</v>
      </c>
      <c r="CU19" s="395">
        <v>0</v>
      </c>
      <c r="CV19" s="481">
        <f t="shared" si="7"/>
        <v>1</v>
      </c>
      <c r="CW19" s="476">
        <v>0</v>
      </c>
      <c r="CX19" s="477">
        <f t="shared" si="8"/>
        <v>1</v>
      </c>
      <c r="CY19" s="627">
        <v>0</v>
      </c>
      <c r="CZ19" s="628">
        <f t="shared" si="41"/>
        <v>1</v>
      </c>
      <c r="DA19" s="646">
        <v>0</v>
      </c>
      <c r="DB19" s="477">
        <f t="shared" si="9"/>
        <v>1</v>
      </c>
      <c r="DC19" s="484"/>
      <c r="DD19" s="477">
        <f t="shared" si="10"/>
        <v>1</v>
      </c>
      <c r="DE19" s="563">
        <v>0</v>
      </c>
      <c r="DF19" s="559">
        <f t="shared" si="30"/>
        <v>1</v>
      </c>
      <c r="DG19" s="561">
        <v>1</v>
      </c>
      <c r="DH19" s="559">
        <f t="shared" si="31"/>
        <v>0.875</v>
      </c>
      <c r="DI19" s="433"/>
      <c r="DJ19" s="477">
        <f t="shared" si="11"/>
        <v>1</v>
      </c>
      <c r="DK19" s="395">
        <v>0</v>
      </c>
      <c r="DL19" s="431">
        <v>1</v>
      </c>
      <c r="DM19" s="561">
        <v>0</v>
      </c>
      <c r="DN19" s="559">
        <v>1</v>
      </c>
      <c r="DO19" s="395"/>
      <c r="DP19" s="508">
        <f t="shared" si="12"/>
        <v>1</v>
      </c>
      <c r="DQ19" s="631">
        <v>1.8867924528301887</v>
      </c>
      <c r="DR19" s="628">
        <v>0.900695134061569</v>
      </c>
      <c r="DS19" s="395"/>
      <c r="DT19" s="485">
        <f t="shared" si="13"/>
        <v>1</v>
      </c>
      <c r="DU19" s="486"/>
      <c r="DV19" s="477">
        <v>1</v>
      </c>
      <c r="DW19" s="486"/>
      <c r="DX19" s="486"/>
      <c r="DY19" s="477">
        <v>0</v>
      </c>
      <c r="DZ19" s="486"/>
      <c r="EA19" s="486"/>
      <c r="EB19" s="477">
        <v>1</v>
      </c>
      <c r="EC19" s="486"/>
      <c r="ED19" s="486"/>
      <c r="EE19" s="477">
        <v>1</v>
      </c>
      <c r="EF19" s="486"/>
      <c r="EG19" s="486"/>
      <c r="EH19" s="477">
        <v>1</v>
      </c>
      <c r="EI19" s="486"/>
      <c r="EJ19" s="486"/>
      <c r="EK19" s="477">
        <v>1</v>
      </c>
      <c r="EL19" s="486"/>
      <c r="EM19" s="486"/>
      <c r="EN19" s="477"/>
      <c r="EO19" s="431"/>
      <c r="EP19" s="431"/>
      <c r="EQ19" s="477"/>
      <c r="ER19" s="431">
        <f t="shared" si="32"/>
        <v>20.493593149141237</v>
      </c>
      <c r="ES19" s="395">
        <v>11</v>
      </c>
      <c r="ET19" s="431" t="s">
        <v>117</v>
      </c>
      <c r="EV19" s="54">
        <v>21.324641060239564</v>
      </c>
      <c r="EW19" s="54">
        <v>14</v>
      </c>
      <c r="EX19" s="54">
        <v>1.552704073700215</v>
      </c>
      <c r="EY19" s="54" t="s">
        <v>117</v>
      </c>
      <c r="EZ19" s="440">
        <f t="shared" si="14"/>
        <v>1.8867924528301887</v>
      </c>
    </row>
    <row r="20" spans="1:156" s="54" customFormat="1" ht="19.5" customHeight="1">
      <c r="A20" s="474">
        <v>11</v>
      </c>
      <c r="B20" s="488" t="s">
        <v>128</v>
      </c>
      <c r="C20" s="635">
        <v>0</v>
      </c>
      <c r="D20" s="628">
        <v>1</v>
      </c>
      <c r="E20" s="476"/>
      <c r="F20" s="477">
        <v>1</v>
      </c>
      <c r="G20" s="500">
        <v>6234.1</v>
      </c>
      <c r="H20" s="498">
        <v>9827.44142</v>
      </c>
      <c r="I20" s="432">
        <f t="shared" si="43"/>
        <v>-0.5764009913219228</v>
      </c>
      <c r="J20" s="479">
        <v>0</v>
      </c>
      <c r="K20" s="564">
        <v>5466.40502</v>
      </c>
      <c r="L20" s="546">
        <v>6515.25601</v>
      </c>
      <c r="M20" s="61">
        <f t="shared" si="0"/>
        <v>0.8390161509555171</v>
      </c>
      <c r="N20" s="480">
        <v>1</v>
      </c>
      <c r="O20" s="564">
        <v>5466.40502</v>
      </c>
      <c r="P20" s="565">
        <v>12736.73698</v>
      </c>
      <c r="Q20" s="58">
        <f t="shared" si="42"/>
        <v>0.4291841017509965</v>
      </c>
      <c r="R20" s="547">
        <f t="shared" si="33"/>
        <v>0.6131201453585665</v>
      </c>
      <c r="S20" s="564">
        <f>5466.40502-2278.51467</f>
        <v>3187.89035</v>
      </c>
      <c r="T20" s="546"/>
      <c r="U20" s="564">
        <f>5220.367-1906.45777</f>
        <v>3313.90923</v>
      </c>
      <c r="V20" s="491">
        <f t="shared" si="15"/>
        <v>0.9619727423855843</v>
      </c>
      <c r="W20" s="35">
        <f t="shared" si="16"/>
        <v>0</v>
      </c>
      <c r="X20" s="549">
        <v>3287.54415</v>
      </c>
      <c r="Y20" s="549">
        <v>2874.7895</v>
      </c>
      <c r="Z20" s="492">
        <f>Y20/X20*100%</f>
        <v>0.8744489408606116</v>
      </c>
      <c r="AA20" s="550">
        <f t="shared" si="1"/>
        <v>0.12555105913938835</v>
      </c>
      <c r="AB20" s="549">
        <v>2874.7895</v>
      </c>
      <c r="AC20" s="551">
        <f>5466.40502-12-10.65982-205.5</f>
        <v>5238.2452</v>
      </c>
      <c r="AD20" s="61">
        <f t="shared" si="35"/>
        <v>0.5488077381333734</v>
      </c>
      <c r="AE20" s="552">
        <f t="shared" si="17"/>
        <v>0.45119226186662664</v>
      </c>
      <c r="AF20" s="553">
        <v>1051.23839</v>
      </c>
      <c r="AG20" s="546">
        <v>6515.25601</v>
      </c>
      <c r="AH20" s="601">
        <v>219.42495</v>
      </c>
      <c r="AI20" s="58">
        <f t="shared" si="36"/>
        <v>0.16697372912036174</v>
      </c>
      <c r="AJ20" s="555">
        <v>1</v>
      </c>
      <c r="AK20" s="557">
        <v>0</v>
      </c>
      <c r="AL20" s="557">
        <v>-3</v>
      </c>
      <c r="AM20" s="557">
        <v>-3</v>
      </c>
      <c r="AN20" s="480">
        <v>1</v>
      </c>
      <c r="AO20" s="567">
        <v>3876.06</v>
      </c>
      <c r="AP20" s="573">
        <v>4368.3</v>
      </c>
      <c r="AQ20" s="432">
        <f t="shared" si="37"/>
        <v>0.8873154316324428</v>
      </c>
      <c r="AR20" s="395">
        <v>1</v>
      </c>
      <c r="AS20" s="431"/>
      <c r="AT20" s="605"/>
      <c r="AU20" s="543">
        <v>14194.86</v>
      </c>
      <c r="AV20" s="575">
        <v>7390.46</v>
      </c>
      <c r="AW20" s="432">
        <f t="shared" si="18"/>
        <v>0.5206433878178439</v>
      </c>
      <c r="AX20" s="577">
        <v>0.8</v>
      </c>
      <c r="AY20" s="567">
        <v>3624.96</v>
      </c>
      <c r="AZ20" s="580">
        <f t="shared" si="19"/>
        <v>93.52177210879088</v>
      </c>
      <c r="BA20" s="580">
        <f t="shared" si="20"/>
        <v>49.04917961804813</v>
      </c>
      <c r="BB20" s="581">
        <v>0.5</v>
      </c>
      <c r="BC20" s="581">
        <v>1</v>
      </c>
      <c r="BD20" s="586">
        <v>3910</v>
      </c>
      <c r="BE20" s="584">
        <f t="shared" si="21"/>
        <v>14194.86</v>
      </c>
      <c r="BF20" s="585">
        <f t="shared" si="22"/>
        <v>44.355912812</v>
      </c>
      <c r="BG20" s="577">
        <v>0.9</v>
      </c>
      <c r="BH20" s="581">
        <f>BE20*100/BE51</f>
        <v>1.7530386436635264</v>
      </c>
      <c r="BI20" s="431">
        <f t="shared" si="2"/>
        <v>11.871591255037332</v>
      </c>
      <c r="BJ20" s="431">
        <f t="shared" si="3"/>
        <v>3.241666349650507</v>
      </c>
      <c r="BK20" s="580">
        <v>460.15</v>
      </c>
      <c r="BL20" s="431">
        <f t="shared" si="23"/>
        <v>3910</v>
      </c>
      <c r="BM20" s="432">
        <f t="shared" si="24"/>
        <v>0.08449160907041775</v>
      </c>
      <c r="BN20" s="577">
        <v>0</v>
      </c>
      <c r="BO20" s="528">
        <v>1090.9</v>
      </c>
      <c r="BP20" s="528">
        <v>878.19</v>
      </c>
      <c r="BQ20" s="431">
        <f t="shared" si="38"/>
        <v>80.50142084517371</v>
      </c>
      <c r="BR20" s="432">
        <f t="shared" si="39"/>
        <v>0.8050142084517371</v>
      </c>
      <c r="BS20" s="585">
        <v>0</v>
      </c>
      <c r="BT20" s="594">
        <f t="shared" si="25"/>
        <v>14194.86</v>
      </c>
      <c r="BU20" s="597">
        <v>1</v>
      </c>
      <c r="BV20" s="598">
        <v>1</v>
      </c>
      <c r="BW20" s="600">
        <v>8.633779892325027</v>
      </c>
      <c r="BX20" s="622">
        <v>0.9136622010767497</v>
      </c>
      <c r="BY20" s="627">
        <v>0</v>
      </c>
      <c r="BZ20" s="628">
        <f t="shared" si="40"/>
        <v>1</v>
      </c>
      <c r="CA20" s="638">
        <v>0</v>
      </c>
      <c r="CB20" s="42">
        <f t="shared" si="26"/>
        <v>1</v>
      </c>
      <c r="CC20" s="561">
        <v>0</v>
      </c>
      <c r="CD20" s="559">
        <f t="shared" si="27"/>
        <v>1</v>
      </c>
      <c r="CE20" s="395">
        <v>0</v>
      </c>
      <c r="CF20" s="395">
        <v>1</v>
      </c>
      <c r="CG20" s="395">
        <v>0</v>
      </c>
      <c r="CH20" s="431">
        <v>1</v>
      </c>
      <c r="CI20" s="395">
        <v>0</v>
      </c>
      <c r="CJ20" s="395">
        <v>1</v>
      </c>
      <c r="CK20" s="431">
        <v>0</v>
      </c>
      <c r="CL20" s="563">
        <v>1</v>
      </c>
      <c r="CM20" s="430">
        <f t="shared" si="28"/>
        <v>0</v>
      </c>
      <c r="CN20" s="496">
        <f t="shared" si="29"/>
        <v>1</v>
      </c>
      <c r="CO20" s="433">
        <v>0</v>
      </c>
      <c r="CP20" s="483">
        <f t="shared" si="4"/>
        <v>1</v>
      </c>
      <c r="CQ20" s="431">
        <v>0</v>
      </c>
      <c r="CR20" s="431">
        <f t="shared" si="5"/>
        <v>1</v>
      </c>
      <c r="CS20" s="395">
        <v>0</v>
      </c>
      <c r="CT20" s="477">
        <f t="shared" si="6"/>
        <v>1</v>
      </c>
      <c r="CU20" s="395">
        <v>0</v>
      </c>
      <c r="CV20" s="481">
        <f t="shared" si="7"/>
        <v>1</v>
      </c>
      <c r="CW20" s="476">
        <v>0</v>
      </c>
      <c r="CX20" s="477">
        <f t="shared" si="8"/>
        <v>1</v>
      </c>
      <c r="CY20" s="627">
        <v>0</v>
      </c>
      <c r="CZ20" s="628">
        <f t="shared" si="41"/>
        <v>1</v>
      </c>
      <c r="DA20" s="646">
        <v>0</v>
      </c>
      <c r="DB20" s="477">
        <f t="shared" si="9"/>
        <v>1</v>
      </c>
      <c r="DC20" s="484"/>
      <c r="DD20" s="477">
        <f t="shared" si="10"/>
        <v>1</v>
      </c>
      <c r="DE20" s="563">
        <v>0</v>
      </c>
      <c r="DF20" s="559">
        <f t="shared" si="30"/>
        <v>1</v>
      </c>
      <c r="DG20" s="561">
        <f>2+1+1+1+2</f>
        <v>7</v>
      </c>
      <c r="DH20" s="559">
        <f t="shared" si="31"/>
        <v>0.125</v>
      </c>
      <c r="DI20" s="433"/>
      <c r="DJ20" s="477">
        <f t="shared" si="11"/>
        <v>1</v>
      </c>
      <c r="DK20" s="395">
        <v>0</v>
      </c>
      <c r="DL20" s="431">
        <v>1</v>
      </c>
      <c r="DM20" s="561">
        <v>0</v>
      </c>
      <c r="DN20" s="559">
        <v>1</v>
      </c>
      <c r="DO20" s="395"/>
      <c r="DP20" s="508">
        <f t="shared" si="12"/>
        <v>1</v>
      </c>
      <c r="DQ20" s="631">
        <v>6.8493150684931505</v>
      </c>
      <c r="DR20" s="628">
        <v>0.6395097332372026</v>
      </c>
      <c r="DS20" s="395"/>
      <c r="DT20" s="485">
        <f t="shared" si="13"/>
        <v>1</v>
      </c>
      <c r="DU20" s="486"/>
      <c r="DV20" s="477">
        <v>1</v>
      </c>
      <c r="DW20" s="486"/>
      <c r="DX20" s="486"/>
      <c r="DY20" s="477">
        <v>1</v>
      </c>
      <c r="DZ20" s="486"/>
      <c r="EA20" s="486"/>
      <c r="EB20" s="477">
        <v>1</v>
      </c>
      <c r="EC20" s="486"/>
      <c r="ED20" s="486"/>
      <c r="EE20" s="477">
        <v>1</v>
      </c>
      <c r="EF20" s="486"/>
      <c r="EG20" s="486"/>
      <c r="EH20" s="477">
        <v>1</v>
      </c>
      <c r="EI20" s="486"/>
      <c r="EJ20" s="486"/>
      <c r="EK20" s="477">
        <v>1</v>
      </c>
      <c r="EL20" s="486"/>
      <c r="EM20" s="486"/>
      <c r="EN20" s="477"/>
      <c r="EO20" s="431"/>
      <c r="EP20" s="431"/>
      <c r="EQ20" s="477"/>
      <c r="ER20" s="431">
        <f t="shared" si="32"/>
        <v>19.943035400678536</v>
      </c>
      <c r="ES20" s="395">
        <v>15</v>
      </c>
      <c r="ET20" s="431" t="s">
        <v>117</v>
      </c>
      <c r="EU20" s="420"/>
      <c r="EV20" s="54">
        <v>24.399098082404016</v>
      </c>
      <c r="EW20" s="54">
        <v>1</v>
      </c>
      <c r="EX20" s="54">
        <v>1.552704073700215</v>
      </c>
      <c r="EY20" s="54" t="s">
        <v>119</v>
      </c>
      <c r="EZ20" s="440">
        <f t="shared" si="14"/>
        <v>6.8493150684931505</v>
      </c>
    </row>
    <row r="21" spans="1:156" s="54" customFormat="1" ht="18.75">
      <c r="A21" s="474">
        <v>12</v>
      </c>
      <c r="B21" s="488" t="s">
        <v>129</v>
      </c>
      <c r="C21" s="635">
        <f>0/45398.41</f>
        <v>0</v>
      </c>
      <c r="D21" s="628">
        <v>1</v>
      </c>
      <c r="E21" s="476"/>
      <c r="F21" s="477">
        <v>1</v>
      </c>
      <c r="G21" s="500">
        <v>2579.15894</v>
      </c>
      <c r="H21" s="498">
        <v>2957.63055</v>
      </c>
      <c r="I21" s="432">
        <f t="shared" si="43"/>
        <v>-0.14674225931962148</v>
      </c>
      <c r="J21" s="479">
        <v>0</v>
      </c>
      <c r="K21" s="564">
        <v>3643.55102</v>
      </c>
      <c r="L21" s="546">
        <v>7597.05906</v>
      </c>
      <c r="M21" s="61">
        <f t="shared" si="0"/>
        <v>0.4796001967635092</v>
      </c>
      <c r="N21" s="480">
        <v>0.5</v>
      </c>
      <c r="O21" s="564">
        <v>3643.55102</v>
      </c>
      <c r="P21" s="565">
        <v>4861.61366</v>
      </c>
      <c r="Q21" s="58">
        <f t="shared" si="42"/>
        <v>0.7494530159765924</v>
      </c>
      <c r="R21" s="547">
        <v>1</v>
      </c>
      <c r="S21" s="564">
        <f>3643.55102-1092.70705</f>
        <v>2550.84397</v>
      </c>
      <c r="T21" s="546"/>
      <c r="U21" s="564">
        <f>2639.4387-910.54706</f>
        <v>1728.8916400000003</v>
      </c>
      <c r="V21" s="491">
        <f t="shared" si="15"/>
        <v>1.475421542324075</v>
      </c>
      <c r="W21" s="35">
        <f t="shared" si="16"/>
        <v>1</v>
      </c>
      <c r="X21" s="549">
        <v>869.33602</v>
      </c>
      <c r="Y21" s="549">
        <v>659.12395</v>
      </c>
      <c r="Z21" s="492">
        <f t="shared" si="34"/>
        <v>0.758192384574149</v>
      </c>
      <c r="AA21" s="550">
        <f t="shared" si="1"/>
        <v>0.24180761542585105</v>
      </c>
      <c r="AB21" s="549">
        <v>659.12395</v>
      </c>
      <c r="AC21" s="551">
        <f>3643.55102-731.08581-46.58561-75</f>
        <v>2790.8795999999998</v>
      </c>
      <c r="AD21" s="61">
        <f t="shared" si="35"/>
        <v>0.23617068611630546</v>
      </c>
      <c r="AE21" s="552">
        <f t="shared" si="17"/>
        <v>0.7638293138836946</v>
      </c>
      <c r="AF21" s="553">
        <v>3853.50804</v>
      </c>
      <c r="AG21" s="546">
        <v>7597.05906</v>
      </c>
      <c r="AH21" s="601">
        <v>297.198</v>
      </c>
      <c r="AI21" s="58">
        <f t="shared" si="36"/>
        <v>0.527887860923205</v>
      </c>
      <c r="AJ21" s="555">
        <v>0.5</v>
      </c>
      <c r="AK21" s="557">
        <v>-1237.12487</v>
      </c>
      <c r="AL21" s="557">
        <v>-1040.82019</v>
      </c>
      <c r="AM21" s="557">
        <v>196.3</v>
      </c>
      <c r="AN21" s="480">
        <v>0</v>
      </c>
      <c r="AO21" s="567">
        <v>3099.54</v>
      </c>
      <c r="AP21" s="573">
        <v>4556</v>
      </c>
      <c r="AQ21" s="432">
        <f t="shared" si="37"/>
        <v>0.6803204565408253</v>
      </c>
      <c r="AR21" s="395">
        <v>1</v>
      </c>
      <c r="AS21" s="431"/>
      <c r="AT21" s="605"/>
      <c r="AU21" s="543">
        <v>15120.72</v>
      </c>
      <c r="AV21" s="575">
        <v>6450.48</v>
      </c>
      <c r="AW21" s="432">
        <f t="shared" si="18"/>
        <v>0.4265987333936479</v>
      </c>
      <c r="AX21" s="577">
        <v>1</v>
      </c>
      <c r="AY21" s="567">
        <v>2758.98</v>
      </c>
      <c r="AZ21" s="580">
        <f t="shared" si="19"/>
        <v>89.01256315453261</v>
      </c>
      <c r="BA21" s="580">
        <f t="shared" si="20"/>
        <v>42.771700710644794</v>
      </c>
      <c r="BB21" s="581">
        <v>0.5</v>
      </c>
      <c r="BC21" s="581">
        <v>1</v>
      </c>
      <c r="BD21" s="586">
        <v>4266</v>
      </c>
      <c r="BE21" s="584">
        <f t="shared" si="21"/>
        <v>15120.72</v>
      </c>
      <c r="BF21" s="585">
        <f t="shared" si="22"/>
        <v>43.306071163685374</v>
      </c>
      <c r="BG21" s="577">
        <v>0</v>
      </c>
      <c r="BH21" s="581">
        <f>BE21*100/BE31</f>
        <v>20.279304613912227</v>
      </c>
      <c r="BI21" s="431">
        <f t="shared" si="2"/>
        <v>28.48454932022171</v>
      </c>
      <c r="BJ21" s="431">
        <f t="shared" si="3"/>
        <v>5.838941531884726</v>
      </c>
      <c r="BK21" s="580">
        <v>882.89</v>
      </c>
      <c r="BL21" s="431">
        <f t="shared" si="23"/>
        <v>4266</v>
      </c>
      <c r="BM21" s="432">
        <f t="shared" si="24"/>
        <v>0.14858557823809782</v>
      </c>
      <c r="BN21" s="577">
        <v>0</v>
      </c>
      <c r="BO21" s="529">
        <v>8532.99</v>
      </c>
      <c r="BP21" s="529">
        <v>3539.24</v>
      </c>
      <c r="BQ21" s="431">
        <f t="shared" si="38"/>
        <v>41.47713755670638</v>
      </c>
      <c r="BR21" s="432">
        <f t="shared" si="39"/>
        <v>0.41477137556706384</v>
      </c>
      <c r="BS21" s="585">
        <v>0</v>
      </c>
      <c r="BT21" s="594">
        <f t="shared" si="25"/>
        <v>15120.72</v>
      </c>
      <c r="BU21" s="597">
        <v>1</v>
      </c>
      <c r="BV21" s="598">
        <v>1</v>
      </c>
      <c r="BW21" s="600">
        <v>12.3</v>
      </c>
      <c r="BX21" s="622">
        <v>0.877</v>
      </c>
      <c r="BY21" s="627">
        <v>0</v>
      </c>
      <c r="BZ21" s="628">
        <f t="shared" si="40"/>
        <v>1</v>
      </c>
      <c r="CA21" s="638">
        <v>0</v>
      </c>
      <c r="CB21" s="42">
        <f t="shared" si="26"/>
        <v>1</v>
      </c>
      <c r="CC21" s="561">
        <v>0</v>
      </c>
      <c r="CD21" s="559">
        <f t="shared" si="27"/>
        <v>1</v>
      </c>
      <c r="CE21" s="395">
        <v>0</v>
      </c>
      <c r="CF21" s="395">
        <v>1</v>
      </c>
      <c r="CG21" s="395">
        <v>0</v>
      </c>
      <c r="CH21" s="431">
        <v>1</v>
      </c>
      <c r="CI21" s="395">
        <v>0</v>
      </c>
      <c r="CJ21" s="395">
        <v>1</v>
      </c>
      <c r="CK21" s="431">
        <v>0</v>
      </c>
      <c r="CL21" s="563">
        <v>1</v>
      </c>
      <c r="CM21" s="430">
        <f t="shared" si="28"/>
        <v>0</v>
      </c>
      <c r="CN21" s="496">
        <f t="shared" si="29"/>
        <v>1</v>
      </c>
      <c r="CO21" s="433">
        <v>0</v>
      </c>
      <c r="CP21" s="483">
        <f t="shared" si="4"/>
        <v>1</v>
      </c>
      <c r="CQ21" s="431">
        <v>0</v>
      </c>
      <c r="CR21" s="431">
        <f t="shared" si="5"/>
        <v>1</v>
      </c>
      <c r="CS21" s="395">
        <v>0</v>
      </c>
      <c r="CT21" s="477">
        <f t="shared" si="6"/>
        <v>1</v>
      </c>
      <c r="CU21" s="395">
        <v>0</v>
      </c>
      <c r="CV21" s="481">
        <f t="shared" si="7"/>
        <v>1</v>
      </c>
      <c r="CW21" s="476">
        <v>0</v>
      </c>
      <c r="CX21" s="477">
        <f t="shared" si="8"/>
        <v>1</v>
      </c>
      <c r="CY21" s="627">
        <v>1</v>
      </c>
      <c r="CZ21" s="628">
        <f t="shared" si="41"/>
        <v>0.5</v>
      </c>
      <c r="DA21" s="646">
        <v>0</v>
      </c>
      <c r="DB21" s="477">
        <f t="shared" si="9"/>
        <v>1</v>
      </c>
      <c r="DC21" s="484"/>
      <c r="DD21" s="477">
        <f t="shared" si="10"/>
        <v>1</v>
      </c>
      <c r="DE21" s="563">
        <v>0</v>
      </c>
      <c r="DF21" s="559">
        <f t="shared" si="30"/>
        <v>1</v>
      </c>
      <c r="DG21" s="561">
        <v>0</v>
      </c>
      <c r="DH21" s="559">
        <f t="shared" si="31"/>
        <v>1</v>
      </c>
      <c r="DI21" s="433"/>
      <c r="DJ21" s="477">
        <f t="shared" si="11"/>
        <v>1</v>
      </c>
      <c r="DK21" s="395">
        <v>0</v>
      </c>
      <c r="DL21" s="431">
        <v>1</v>
      </c>
      <c r="DM21" s="561">
        <v>0</v>
      </c>
      <c r="DN21" s="559">
        <v>1</v>
      </c>
      <c r="DO21" s="395"/>
      <c r="DP21" s="508">
        <f t="shared" si="12"/>
        <v>1</v>
      </c>
      <c r="DQ21" s="631">
        <v>3.1746031746031744</v>
      </c>
      <c r="DR21" s="628">
        <v>0.8329156223893066</v>
      </c>
      <c r="DS21" s="395"/>
      <c r="DT21" s="485">
        <f t="shared" si="13"/>
        <v>1</v>
      </c>
      <c r="DU21" s="486"/>
      <c r="DV21" s="477">
        <v>1</v>
      </c>
      <c r="DW21" s="486"/>
      <c r="DX21" s="486"/>
      <c r="DY21" s="477">
        <v>1</v>
      </c>
      <c r="DZ21" s="486"/>
      <c r="EA21" s="486"/>
      <c r="EB21" s="477">
        <v>1</v>
      </c>
      <c r="EC21" s="486"/>
      <c r="ED21" s="486"/>
      <c r="EE21" s="477">
        <v>1</v>
      </c>
      <c r="EF21" s="486"/>
      <c r="EG21" s="486"/>
      <c r="EH21" s="477">
        <v>1</v>
      </c>
      <c r="EI21" s="486"/>
      <c r="EJ21" s="486"/>
      <c r="EK21" s="477">
        <v>1</v>
      </c>
      <c r="EL21" s="486"/>
      <c r="EM21" s="486"/>
      <c r="EN21" s="477"/>
      <c r="EO21" s="431"/>
      <c r="EP21" s="431"/>
      <c r="EQ21" s="477"/>
      <c r="ER21" s="431">
        <f t="shared" si="32"/>
        <v>19.215552551698853</v>
      </c>
      <c r="ES21" s="395">
        <v>21</v>
      </c>
      <c r="ET21" s="431" t="s">
        <v>117</v>
      </c>
      <c r="EU21" s="80"/>
      <c r="EV21" s="54">
        <v>23.126098926315844</v>
      </c>
      <c r="EW21" s="54">
        <v>5</v>
      </c>
      <c r="EX21" s="54">
        <v>1.552704073700215</v>
      </c>
      <c r="EY21" s="54" t="s">
        <v>117</v>
      </c>
      <c r="EZ21" s="440">
        <f t="shared" si="14"/>
        <v>3.1746031746031744</v>
      </c>
    </row>
    <row r="22" spans="1:156" s="54" customFormat="1" ht="18.75">
      <c r="A22" s="474">
        <v>13</v>
      </c>
      <c r="B22" s="488" t="s">
        <v>130</v>
      </c>
      <c r="C22" s="635">
        <v>0</v>
      </c>
      <c r="D22" s="628">
        <v>1</v>
      </c>
      <c r="E22" s="476"/>
      <c r="F22" s="477">
        <v>1</v>
      </c>
      <c r="G22" s="500">
        <v>6700.4</v>
      </c>
      <c r="H22" s="498">
        <v>5808.563490000001</v>
      </c>
      <c r="I22" s="432">
        <f t="shared" si="43"/>
        <v>0.13310198047877714</v>
      </c>
      <c r="J22" s="479">
        <f>1-(I22/20)</f>
        <v>0.9933449009760611</v>
      </c>
      <c r="K22" s="564">
        <v>5204.35235</v>
      </c>
      <c r="L22" s="546">
        <v>13684.74579</v>
      </c>
      <c r="M22" s="61">
        <f t="shared" si="0"/>
        <v>0.3803031806263461</v>
      </c>
      <c r="N22" s="480">
        <v>0.5</v>
      </c>
      <c r="O22" s="564">
        <v>5204.35235</v>
      </c>
      <c r="P22" s="565">
        <v>9256.03276</v>
      </c>
      <c r="Q22" s="58">
        <f t="shared" si="42"/>
        <v>0.5622659820836675</v>
      </c>
      <c r="R22" s="547">
        <f t="shared" si="33"/>
        <v>0.8032371172623822</v>
      </c>
      <c r="S22" s="564">
        <f>5204.35235-2072.71334</f>
        <v>3131.6390100000003</v>
      </c>
      <c r="T22" s="546"/>
      <c r="U22" s="564">
        <f>4017.46186-1731.66526</f>
        <v>2285.7965999999997</v>
      </c>
      <c r="V22" s="491">
        <f t="shared" si="15"/>
        <v>1.3700427282112506</v>
      </c>
      <c r="W22" s="35">
        <f t="shared" si="16"/>
        <v>1</v>
      </c>
      <c r="X22" s="549">
        <v>3619.7499</v>
      </c>
      <c r="Y22" s="549">
        <v>2916.32342</v>
      </c>
      <c r="Z22" s="492">
        <f t="shared" si="34"/>
        <v>0.8056698668601386</v>
      </c>
      <c r="AA22" s="550">
        <f t="shared" si="1"/>
        <v>0.19433013313986136</v>
      </c>
      <c r="AB22" s="549">
        <v>2916.32342</v>
      </c>
      <c r="AC22" s="551">
        <f>5204.35235-601.92145-102.14967-113.63</f>
        <v>4386.65123</v>
      </c>
      <c r="AD22" s="61">
        <f t="shared" si="35"/>
        <v>0.6648177087924083</v>
      </c>
      <c r="AE22" s="552">
        <f t="shared" si="17"/>
        <v>0.3351822912075917</v>
      </c>
      <c r="AF22" s="553">
        <v>8429.69344</v>
      </c>
      <c r="AG22" s="546">
        <v>13684.74579</v>
      </c>
      <c r="AH22" s="601">
        <v>173.50887</v>
      </c>
      <c r="AI22" s="58">
        <f t="shared" si="36"/>
        <v>0.6239024221033346</v>
      </c>
      <c r="AJ22" s="555">
        <v>0.5</v>
      </c>
      <c r="AK22" s="557">
        <v>-697.47801</v>
      </c>
      <c r="AL22" s="557">
        <v>-836.6323</v>
      </c>
      <c r="AM22" s="557">
        <v>-139.1</v>
      </c>
      <c r="AN22" s="480">
        <v>1</v>
      </c>
      <c r="AO22" s="567">
        <v>3720.48</v>
      </c>
      <c r="AP22" s="573">
        <v>3814.8</v>
      </c>
      <c r="AQ22" s="432">
        <f t="shared" si="37"/>
        <v>0.9752752437873544</v>
      </c>
      <c r="AR22" s="395">
        <v>1</v>
      </c>
      <c r="AS22" s="431"/>
      <c r="AT22" s="605"/>
      <c r="AU22" s="543">
        <v>19032.75</v>
      </c>
      <c r="AV22" s="575">
        <v>7179.16</v>
      </c>
      <c r="AW22" s="432">
        <f t="shared" si="18"/>
        <v>0.37720035202479935</v>
      </c>
      <c r="AX22" s="577">
        <v>1</v>
      </c>
      <c r="AY22" s="567">
        <v>3625.42</v>
      </c>
      <c r="AZ22" s="580">
        <f t="shared" si="19"/>
        <v>97.44495333935406</v>
      </c>
      <c r="BA22" s="580">
        <f t="shared" si="20"/>
        <v>50.49922275029391</v>
      </c>
      <c r="BB22" s="581">
        <v>0.5</v>
      </c>
      <c r="BC22" s="581">
        <v>1</v>
      </c>
      <c r="BD22" s="586">
        <v>2585</v>
      </c>
      <c r="BE22" s="584">
        <f t="shared" si="21"/>
        <v>19032.75</v>
      </c>
      <c r="BF22" s="585">
        <f t="shared" si="22"/>
        <v>89.95766221131866</v>
      </c>
      <c r="BG22" s="577">
        <v>1</v>
      </c>
      <c r="BH22" s="581">
        <f>BE22*100/BE56</f>
        <v>2.350509004328819</v>
      </c>
      <c r="BI22" s="431">
        <f t="shared" si="2"/>
        <v>60.35430912140368</v>
      </c>
      <c r="BJ22" s="431">
        <f t="shared" si="3"/>
        <v>11.797927256964966</v>
      </c>
      <c r="BK22" s="580">
        <v>2245.47</v>
      </c>
      <c r="BL22" s="431">
        <f t="shared" si="23"/>
        <v>2585</v>
      </c>
      <c r="BM22" s="432">
        <f t="shared" si="24"/>
        <v>0.6236452540765234</v>
      </c>
      <c r="BN22" s="577">
        <v>0</v>
      </c>
      <c r="BO22" s="530">
        <v>8674.28</v>
      </c>
      <c r="BP22" s="530">
        <v>6477.77</v>
      </c>
      <c r="BQ22" s="431">
        <f t="shared" si="38"/>
        <v>74.67789833853645</v>
      </c>
      <c r="BR22" s="432">
        <f t="shared" si="39"/>
        <v>0.7467789833853645</v>
      </c>
      <c r="BS22" s="585">
        <v>0</v>
      </c>
      <c r="BT22" s="594">
        <f t="shared" si="25"/>
        <v>19032.75</v>
      </c>
      <c r="BU22" s="597">
        <v>1</v>
      </c>
      <c r="BV22" s="598">
        <v>1</v>
      </c>
      <c r="BW22" s="600">
        <v>14</v>
      </c>
      <c r="BX22" s="622">
        <v>0.86</v>
      </c>
      <c r="BY22" s="627">
        <v>0</v>
      </c>
      <c r="BZ22" s="628">
        <f t="shared" si="40"/>
        <v>1</v>
      </c>
      <c r="CA22" s="638">
        <v>0</v>
      </c>
      <c r="CB22" s="42">
        <f t="shared" si="26"/>
        <v>1</v>
      </c>
      <c r="CC22" s="561">
        <v>0</v>
      </c>
      <c r="CD22" s="559">
        <f t="shared" si="27"/>
        <v>1</v>
      </c>
      <c r="CE22" s="395">
        <v>0</v>
      </c>
      <c r="CF22" s="395">
        <v>1</v>
      </c>
      <c r="CG22" s="395">
        <v>0</v>
      </c>
      <c r="CH22" s="431">
        <v>1</v>
      </c>
      <c r="CI22" s="395">
        <v>0</v>
      </c>
      <c r="CJ22" s="395">
        <v>1</v>
      </c>
      <c r="CK22" s="431">
        <v>0</v>
      </c>
      <c r="CL22" s="563">
        <v>1</v>
      </c>
      <c r="CM22" s="430">
        <f t="shared" si="28"/>
        <v>0</v>
      </c>
      <c r="CN22" s="496">
        <f t="shared" si="29"/>
        <v>1</v>
      </c>
      <c r="CO22" s="433">
        <v>0</v>
      </c>
      <c r="CP22" s="483">
        <f t="shared" si="4"/>
        <v>1</v>
      </c>
      <c r="CQ22" s="431">
        <v>0</v>
      </c>
      <c r="CR22" s="431">
        <f t="shared" si="5"/>
        <v>1</v>
      </c>
      <c r="CS22" s="395">
        <v>0</v>
      </c>
      <c r="CT22" s="477">
        <f t="shared" si="6"/>
        <v>1</v>
      </c>
      <c r="CU22" s="395">
        <v>0</v>
      </c>
      <c r="CV22" s="481">
        <f t="shared" si="7"/>
        <v>1</v>
      </c>
      <c r="CW22" s="476">
        <v>0</v>
      </c>
      <c r="CX22" s="477">
        <f t="shared" si="8"/>
        <v>1</v>
      </c>
      <c r="CY22" s="627">
        <v>0</v>
      </c>
      <c r="CZ22" s="628">
        <f t="shared" si="41"/>
        <v>1</v>
      </c>
      <c r="DA22" s="646">
        <v>0</v>
      </c>
      <c r="DB22" s="477">
        <f t="shared" si="9"/>
        <v>1</v>
      </c>
      <c r="DC22" s="484"/>
      <c r="DD22" s="477">
        <f t="shared" si="10"/>
        <v>1</v>
      </c>
      <c r="DE22" s="563">
        <v>0</v>
      </c>
      <c r="DF22" s="559">
        <f t="shared" si="30"/>
        <v>1</v>
      </c>
      <c r="DG22" s="561">
        <v>1</v>
      </c>
      <c r="DH22" s="559">
        <f t="shared" si="31"/>
        <v>0.875</v>
      </c>
      <c r="DI22" s="433"/>
      <c r="DJ22" s="477">
        <f t="shared" si="11"/>
        <v>1</v>
      </c>
      <c r="DK22" s="395">
        <v>0</v>
      </c>
      <c r="DL22" s="431">
        <v>1</v>
      </c>
      <c r="DM22" s="561">
        <v>0</v>
      </c>
      <c r="DN22" s="559">
        <v>1</v>
      </c>
      <c r="DO22" s="395"/>
      <c r="DP22" s="508">
        <f t="shared" si="12"/>
        <v>1</v>
      </c>
      <c r="DQ22" s="631">
        <v>4.562737642585551</v>
      </c>
      <c r="DR22" s="628">
        <v>0.7598559135481289</v>
      </c>
      <c r="DS22" s="395"/>
      <c r="DT22" s="485">
        <f t="shared" si="13"/>
        <v>1</v>
      </c>
      <c r="DU22" s="486"/>
      <c r="DV22" s="477">
        <v>1</v>
      </c>
      <c r="DW22" s="486"/>
      <c r="DX22" s="486"/>
      <c r="DY22" s="477">
        <v>1</v>
      </c>
      <c r="DZ22" s="486"/>
      <c r="EA22" s="486"/>
      <c r="EB22" s="477">
        <v>1</v>
      </c>
      <c r="EC22" s="486"/>
      <c r="ED22" s="486"/>
      <c r="EE22" s="477">
        <v>1</v>
      </c>
      <c r="EF22" s="486"/>
      <c r="EG22" s="486"/>
      <c r="EH22" s="477">
        <v>1</v>
      </c>
      <c r="EI22" s="486"/>
      <c r="EJ22" s="486"/>
      <c r="EK22" s="477">
        <v>1</v>
      </c>
      <c r="EL22" s="486"/>
      <c r="EM22" s="486"/>
      <c r="EN22" s="477"/>
      <c r="EO22" s="431"/>
      <c r="EP22" s="431"/>
      <c r="EQ22" s="477"/>
      <c r="ER22" s="431">
        <f t="shared" si="32"/>
        <v>20.452605455157965</v>
      </c>
      <c r="ES22" s="395">
        <v>12</v>
      </c>
      <c r="ET22" s="431" t="s">
        <v>117</v>
      </c>
      <c r="EV22" s="54">
        <v>20.727964560599766</v>
      </c>
      <c r="EW22" s="54">
        <v>16</v>
      </c>
      <c r="EX22" s="54">
        <v>1.552704073700215</v>
      </c>
      <c r="EY22" s="54" t="s">
        <v>117</v>
      </c>
      <c r="EZ22" s="440">
        <f t="shared" si="14"/>
        <v>4.562737642585551</v>
      </c>
    </row>
    <row r="23" spans="1:156" s="54" customFormat="1" ht="18.75">
      <c r="A23" s="474">
        <v>14</v>
      </c>
      <c r="B23" s="488" t="s">
        <v>131</v>
      </c>
      <c r="C23" s="635">
        <v>0</v>
      </c>
      <c r="D23" s="628">
        <v>1</v>
      </c>
      <c r="E23" s="476"/>
      <c r="F23" s="477">
        <v>1</v>
      </c>
      <c r="G23" s="500">
        <v>4676</v>
      </c>
      <c r="H23" s="498">
        <v>5216.48777</v>
      </c>
      <c r="I23" s="432">
        <f t="shared" si="43"/>
        <v>-0.11558763259195888</v>
      </c>
      <c r="J23" s="479">
        <v>0</v>
      </c>
      <c r="K23" s="564">
        <v>5164.44797</v>
      </c>
      <c r="L23" s="544">
        <v>10703.39711</v>
      </c>
      <c r="M23" s="61">
        <f t="shared" si="0"/>
        <v>0.48250549960207917</v>
      </c>
      <c r="N23" s="480">
        <v>0.5</v>
      </c>
      <c r="O23" s="564">
        <v>5164.44797</v>
      </c>
      <c r="P23" s="565">
        <v>9570.67182</v>
      </c>
      <c r="Q23" s="58">
        <f t="shared" si="42"/>
        <v>0.5396118545416805</v>
      </c>
      <c r="R23" s="547">
        <f t="shared" si="33"/>
        <v>0.7708740779166865</v>
      </c>
      <c r="S23" s="564">
        <f>5164.44797-1690.51088</f>
        <v>3473.9370900000004</v>
      </c>
      <c r="T23" s="546"/>
      <c r="U23" s="564">
        <f>4619.77198-1410.53485</f>
        <v>3209.2371300000004</v>
      </c>
      <c r="V23" s="491">
        <f t="shared" si="15"/>
        <v>1.0824806486019933</v>
      </c>
      <c r="W23" s="35">
        <f t="shared" si="16"/>
        <v>1</v>
      </c>
      <c r="X23" s="549">
        <v>1578.20295</v>
      </c>
      <c r="Y23" s="549">
        <v>1350.46941</v>
      </c>
      <c r="Z23" s="492">
        <f t="shared" si="34"/>
        <v>0.8557007259427565</v>
      </c>
      <c r="AA23" s="550">
        <f t="shared" si="1"/>
        <v>0.14429927405724352</v>
      </c>
      <c r="AB23" s="549">
        <v>1350.46941</v>
      </c>
      <c r="AC23" s="551">
        <f>5164.44797-1020.43205-69.15899-28</f>
        <v>4046.85693</v>
      </c>
      <c r="AD23" s="61">
        <f t="shared" si="35"/>
        <v>0.33370821686053526</v>
      </c>
      <c r="AE23" s="552">
        <f t="shared" si="17"/>
        <v>0.6662917831394648</v>
      </c>
      <c r="AF23" s="553">
        <v>5543.95014</v>
      </c>
      <c r="AG23" s="544">
        <v>10703.39711</v>
      </c>
      <c r="AH23" s="601">
        <v>375.7637</v>
      </c>
      <c r="AI23" s="58">
        <f t="shared" si="36"/>
        <v>0.536807409781986</v>
      </c>
      <c r="AJ23" s="555">
        <v>0.5</v>
      </c>
      <c r="AK23" s="557">
        <v>-117.88031</v>
      </c>
      <c r="AL23" s="557">
        <v>-127.77332</v>
      </c>
      <c r="AM23" s="557">
        <v>-9.9</v>
      </c>
      <c r="AN23" s="480">
        <v>1</v>
      </c>
      <c r="AO23" s="567">
        <v>3448.24</v>
      </c>
      <c r="AP23" s="573">
        <v>5291.9</v>
      </c>
      <c r="AQ23" s="432">
        <f t="shared" si="37"/>
        <v>0.6516071732270073</v>
      </c>
      <c r="AR23" s="395">
        <v>1</v>
      </c>
      <c r="AS23" s="431"/>
      <c r="AT23" s="605"/>
      <c r="AU23" s="543">
        <v>62128.88</v>
      </c>
      <c r="AV23" s="575">
        <v>6050.42</v>
      </c>
      <c r="AW23" s="432">
        <f t="shared" si="18"/>
        <v>0.09738498424565195</v>
      </c>
      <c r="AX23" s="577">
        <v>1</v>
      </c>
      <c r="AY23" s="567">
        <v>3420.94</v>
      </c>
      <c r="AZ23" s="580">
        <f t="shared" si="19"/>
        <v>99.20829176623438</v>
      </c>
      <c r="BA23" s="580">
        <f t="shared" si="20"/>
        <v>56.5405376816816</v>
      </c>
      <c r="BB23" s="581">
        <v>0.5</v>
      </c>
      <c r="BC23" s="581">
        <v>1</v>
      </c>
      <c r="BD23" s="586">
        <v>6243</v>
      </c>
      <c r="BE23" s="584">
        <f t="shared" si="21"/>
        <v>62128.88</v>
      </c>
      <c r="BF23" s="585">
        <f t="shared" si="22"/>
        <v>121.58985895605706</v>
      </c>
      <c r="BG23" s="577">
        <v>0</v>
      </c>
      <c r="BH23" s="581">
        <f>BE23*100/BE63</f>
        <v>7.672800402929933</v>
      </c>
      <c r="BI23" s="431">
        <f t="shared" si="2"/>
        <v>43.910516669373365</v>
      </c>
      <c r="BJ23" s="431">
        <f t="shared" si="3"/>
        <v>2.4370952767859326</v>
      </c>
      <c r="BK23" s="580">
        <v>1514.14</v>
      </c>
      <c r="BL23" s="431">
        <f t="shared" si="23"/>
        <v>6243</v>
      </c>
      <c r="BM23" s="432">
        <f t="shared" si="24"/>
        <v>0.1741259944347518</v>
      </c>
      <c r="BN23" s="577">
        <v>0</v>
      </c>
      <c r="BO23" s="531">
        <v>51889.4</v>
      </c>
      <c r="BP23" s="531">
        <v>4584.02</v>
      </c>
      <c r="BQ23" s="431">
        <f t="shared" si="38"/>
        <v>8.834212767925626</v>
      </c>
      <c r="BR23" s="432">
        <f t="shared" si="39"/>
        <v>0.08834212767925627</v>
      </c>
      <c r="BS23" s="585">
        <v>0</v>
      </c>
      <c r="BT23" s="594">
        <f t="shared" si="25"/>
        <v>62128.88</v>
      </c>
      <c r="BU23" s="597">
        <v>1</v>
      </c>
      <c r="BV23" s="598">
        <v>1</v>
      </c>
      <c r="BW23" s="600">
        <v>13.65</v>
      </c>
      <c r="BX23" s="622">
        <v>0.8634999999999999</v>
      </c>
      <c r="BY23" s="627">
        <v>0</v>
      </c>
      <c r="BZ23" s="628">
        <f t="shared" si="40"/>
        <v>1</v>
      </c>
      <c r="CA23" s="638">
        <v>0</v>
      </c>
      <c r="CB23" s="42">
        <f t="shared" si="26"/>
        <v>1</v>
      </c>
      <c r="CC23" s="561">
        <v>0</v>
      </c>
      <c r="CD23" s="559">
        <f t="shared" si="27"/>
        <v>1</v>
      </c>
      <c r="CE23" s="395">
        <v>0</v>
      </c>
      <c r="CF23" s="395">
        <v>1</v>
      </c>
      <c r="CG23" s="395">
        <v>0</v>
      </c>
      <c r="CH23" s="431">
        <v>1</v>
      </c>
      <c r="CI23" s="395">
        <v>0</v>
      </c>
      <c r="CJ23" s="395">
        <v>1</v>
      </c>
      <c r="CK23" s="431">
        <v>0</v>
      </c>
      <c r="CL23" s="563">
        <v>1</v>
      </c>
      <c r="CM23" s="430">
        <f t="shared" si="28"/>
        <v>0</v>
      </c>
      <c r="CN23" s="496">
        <f t="shared" si="29"/>
        <v>1</v>
      </c>
      <c r="CO23" s="433">
        <v>0</v>
      </c>
      <c r="CP23" s="483">
        <f t="shared" si="4"/>
        <v>1</v>
      </c>
      <c r="CQ23" s="431">
        <v>0</v>
      </c>
      <c r="CR23" s="431">
        <f t="shared" si="5"/>
        <v>1</v>
      </c>
      <c r="CS23" s="395">
        <v>0</v>
      </c>
      <c r="CT23" s="477">
        <f t="shared" si="6"/>
        <v>1</v>
      </c>
      <c r="CU23" s="395">
        <v>0</v>
      </c>
      <c r="CV23" s="481">
        <f t="shared" si="7"/>
        <v>1</v>
      </c>
      <c r="CW23" s="476">
        <v>0</v>
      </c>
      <c r="CX23" s="477">
        <f t="shared" si="8"/>
        <v>1</v>
      </c>
      <c r="CY23" s="627">
        <v>0</v>
      </c>
      <c r="CZ23" s="628">
        <f t="shared" si="41"/>
        <v>1</v>
      </c>
      <c r="DA23" s="646">
        <v>0</v>
      </c>
      <c r="DB23" s="477">
        <f t="shared" si="9"/>
        <v>1</v>
      </c>
      <c r="DC23" s="484"/>
      <c r="DD23" s="477">
        <f t="shared" si="10"/>
        <v>1</v>
      </c>
      <c r="DE23" s="563">
        <v>0</v>
      </c>
      <c r="DF23" s="559">
        <f t="shared" si="30"/>
        <v>1</v>
      </c>
      <c r="DG23" s="561">
        <f>1+1+1</f>
        <v>3</v>
      </c>
      <c r="DH23" s="559">
        <f t="shared" si="31"/>
        <v>0.625</v>
      </c>
      <c r="DI23" s="433"/>
      <c r="DJ23" s="477">
        <f t="shared" si="11"/>
        <v>1</v>
      </c>
      <c r="DK23" s="395">
        <v>0</v>
      </c>
      <c r="DL23" s="431">
        <v>1</v>
      </c>
      <c r="DM23" s="561">
        <v>0</v>
      </c>
      <c r="DN23" s="559">
        <v>1</v>
      </c>
      <c r="DO23" s="395"/>
      <c r="DP23" s="508">
        <f t="shared" si="12"/>
        <v>1</v>
      </c>
      <c r="DQ23" s="631">
        <v>1.0380622837370241</v>
      </c>
      <c r="DR23" s="628">
        <v>0.9453651429612092</v>
      </c>
      <c r="DS23" s="395"/>
      <c r="DT23" s="485">
        <f t="shared" si="13"/>
        <v>1</v>
      </c>
      <c r="DU23" s="486"/>
      <c r="DV23" s="477">
        <v>1</v>
      </c>
      <c r="DW23" s="486"/>
      <c r="DX23" s="486"/>
      <c r="DY23" s="477">
        <v>1</v>
      </c>
      <c r="DZ23" s="486"/>
      <c r="EA23" s="486"/>
      <c r="EB23" s="477">
        <v>1</v>
      </c>
      <c r="EC23" s="486"/>
      <c r="ED23" s="486"/>
      <c r="EE23" s="477">
        <v>1</v>
      </c>
      <c r="EF23" s="486"/>
      <c r="EG23" s="486"/>
      <c r="EH23" s="477">
        <v>1</v>
      </c>
      <c r="EI23" s="486"/>
      <c r="EJ23" s="486"/>
      <c r="EK23" s="477">
        <v>1</v>
      </c>
      <c r="EL23" s="486"/>
      <c r="EM23" s="486"/>
      <c r="EN23" s="477"/>
      <c r="EO23" s="431"/>
      <c r="EP23" s="431"/>
      <c r="EQ23" s="477"/>
      <c r="ER23" s="431">
        <f t="shared" si="32"/>
        <v>19.890330278074604</v>
      </c>
      <c r="ES23" s="395">
        <v>16</v>
      </c>
      <c r="ET23" s="431" t="s">
        <v>117</v>
      </c>
      <c r="EV23" s="54">
        <v>20.244699851664663</v>
      </c>
      <c r="EW23" s="54">
        <v>18</v>
      </c>
      <c r="EX23" s="54">
        <v>1.552704073700215</v>
      </c>
      <c r="EY23" s="54" t="s">
        <v>116</v>
      </c>
      <c r="EZ23" s="440">
        <f t="shared" si="14"/>
        <v>1.0380622837370241</v>
      </c>
    </row>
    <row r="24" spans="1:156" s="54" customFormat="1" ht="18.75">
      <c r="A24" s="474">
        <v>15</v>
      </c>
      <c r="B24" s="488" t="s">
        <v>132</v>
      </c>
      <c r="C24" s="635">
        <v>0</v>
      </c>
      <c r="D24" s="628">
        <v>1</v>
      </c>
      <c r="E24" s="476"/>
      <c r="F24" s="477">
        <v>1</v>
      </c>
      <c r="G24" s="500">
        <v>2870</v>
      </c>
      <c r="H24" s="498">
        <v>3099.24853</v>
      </c>
      <c r="I24" s="432">
        <f t="shared" si="43"/>
        <v>-0.0798775365853658</v>
      </c>
      <c r="J24" s="479">
        <v>0</v>
      </c>
      <c r="K24" s="564">
        <v>3223.46923</v>
      </c>
      <c r="L24" s="546">
        <v>7391.69478</v>
      </c>
      <c r="M24" s="61">
        <f t="shared" si="0"/>
        <v>0.43609338939722836</v>
      </c>
      <c r="N24" s="480">
        <v>0.5</v>
      </c>
      <c r="O24" s="564">
        <v>3223.46923</v>
      </c>
      <c r="P24" s="565">
        <v>5679.50092</v>
      </c>
      <c r="Q24" s="58">
        <f t="shared" si="42"/>
        <v>0.5675620578999747</v>
      </c>
      <c r="R24" s="547">
        <f t="shared" si="33"/>
        <v>0.8108029398571068</v>
      </c>
      <c r="S24" s="564">
        <f>3223.46923-999.60643</f>
        <v>2223.8628</v>
      </c>
      <c r="T24" s="546"/>
      <c r="U24" s="564">
        <f>2121.87809-833.3131</f>
        <v>1288.5649900000003</v>
      </c>
      <c r="V24" s="491">
        <f t="shared" si="15"/>
        <v>1.7258444993139224</v>
      </c>
      <c r="W24" s="35">
        <f t="shared" si="16"/>
        <v>1</v>
      </c>
      <c r="X24" s="549">
        <v>2768.65775</v>
      </c>
      <c r="Y24" s="549">
        <v>1912.09383</v>
      </c>
      <c r="Z24" s="492">
        <f t="shared" si="34"/>
        <v>0.6906212333395126</v>
      </c>
      <c r="AA24" s="550">
        <f t="shared" si="1"/>
        <v>0.30937876666048736</v>
      </c>
      <c r="AB24" s="549">
        <v>1912.09383</v>
      </c>
      <c r="AC24" s="551">
        <f>3223.46923-48.73618-528.91576-37.7</f>
        <v>2608.1172900000006</v>
      </c>
      <c r="AD24" s="61">
        <f t="shared" si="35"/>
        <v>0.733131840861344</v>
      </c>
      <c r="AE24" s="552">
        <f t="shared" si="17"/>
        <v>0.266868159138656</v>
      </c>
      <c r="AF24" s="553">
        <v>4163.24105</v>
      </c>
      <c r="AG24" s="546">
        <v>7391.69478</v>
      </c>
      <c r="AH24" s="601">
        <v>141.55623</v>
      </c>
      <c r="AI24" s="58">
        <f t="shared" si="36"/>
        <v>0.5742291711101162</v>
      </c>
      <c r="AJ24" s="555">
        <v>0.5</v>
      </c>
      <c r="AK24" s="557">
        <v>-571.60026</v>
      </c>
      <c r="AL24" s="557">
        <v>-1184.65518</v>
      </c>
      <c r="AM24" s="557">
        <v>-613.1</v>
      </c>
      <c r="AN24" s="480">
        <v>1</v>
      </c>
      <c r="AO24" s="567">
        <v>2822.06</v>
      </c>
      <c r="AP24" s="573">
        <v>3143.9</v>
      </c>
      <c r="AQ24" s="432">
        <f t="shared" si="37"/>
        <v>0.8976303317535544</v>
      </c>
      <c r="AR24" s="395">
        <v>1</v>
      </c>
      <c r="AS24" s="431"/>
      <c r="AT24" s="605"/>
      <c r="AU24" s="543">
        <v>14563.76</v>
      </c>
      <c r="AV24" s="575">
        <v>5355.2</v>
      </c>
      <c r="AW24" s="432">
        <f t="shared" si="18"/>
        <v>0.36770724043790887</v>
      </c>
      <c r="AX24" s="577">
        <v>1</v>
      </c>
      <c r="AY24" s="567">
        <v>2776.76</v>
      </c>
      <c r="AZ24" s="580">
        <f t="shared" si="19"/>
        <v>98.39478962176567</v>
      </c>
      <c r="BA24" s="580">
        <f t="shared" si="20"/>
        <v>51.85165820137437</v>
      </c>
      <c r="BB24" s="581">
        <v>0.5</v>
      </c>
      <c r="BC24" s="581">
        <v>1</v>
      </c>
      <c r="BD24" s="586">
        <v>1592</v>
      </c>
      <c r="BE24" s="584">
        <f t="shared" si="21"/>
        <v>14563.76</v>
      </c>
      <c r="BF24" s="585">
        <f t="shared" si="22"/>
        <v>111.77060842885787</v>
      </c>
      <c r="BG24" s="577">
        <v>1</v>
      </c>
      <c r="BH24" s="581">
        <f>BE24*100/BE61</f>
        <v>1.7985971032501284</v>
      </c>
      <c r="BI24" s="431">
        <f t="shared" si="2"/>
        <v>70.25789671374811</v>
      </c>
      <c r="BJ24" s="431">
        <f t="shared" si="3"/>
        <v>13.614066697061748</v>
      </c>
      <c r="BK24" s="580">
        <v>1982.72</v>
      </c>
      <c r="BL24" s="431">
        <f t="shared" si="23"/>
        <v>1592</v>
      </c>
      <c r="BM24" s="432">
        <f t="shared" si="24"/>
        <v>0.8941476428406099</v>
      </c>
      <c r="BN24" s="577">
        <v>0</v>
      </c>
      <c r="BO24" s="532">
        <v>7814.09</v>
      </c>
      <c r="BP24" s="532">
        <v>2963.12</v>
      </c>
      <c r="BQ24" s="431">
        <f t="shared" si="38"/>
        <v>37.92021847713553</v>
      </c>
      <c r="BR24" s="432">
        <f t="shared" si="39"/>
        <v>0.3792021847713553</v>
      </c>
      <c r="BS24" s="585">
        <v>0</v>
      </c>
      <c r="BT24" s="594">
        <f t="shared" si="25"/>
        <v>14563.76</v>
      </c>
      <c r="BU24" s="597">
        <v>1</v>
      </c>
      <c r="BV24" s="598">
        <v>1</v>
      </c>
      <c r="BW24" s="600">
        <v>5.65201678815993</v>
      </c>
      <c r="BX24" s="622">
        <v>0.9434798321184007</v>
      </c>
      <c r="BY24" s="627">
        <v>0</v>
      </c>
      <c r="BZ24" s="628">
        <f t="shared" si="40"/>
        <v>1</v>
      </c>
      <c r="CA24" s="638">
        <v>0</v>
      </c>
      <c r="CB24" s="42">
        <f t="shared" si="26"/>
        <v>1</v>
      </c>
      <c r="CC24" s="561">
        <v>0</v>
      </c>
      <c r="CD24" s="559">
        <f t="shared" si="27"/>
        <v>1</v>
      </c>
      <c r="CE24" s="395">
        <v>0</v>
      </c>
      <c r="CF24" s="395">
        <v>1</v>
      </c>
      <c r="CG24" s="395">
        <v>0</v>
      </c>
      <c r="CH24" s="431">
        <v>1</v>
      </c>
      <c r="CI24" s="395">
        <v>0</v>
      </c>
      <c r="CJ24" s="395">
        <v>1</v>
      </c>
      <c r="CK24" s="431">
        <v>0</v>
      </c>
      <c r="CL24" s="563">
        <v>1</v>
      </c>
      <c r="CM24" s="430">
        <f t="shared" si="28"/>
        <v>0</v>
      </c>
      <c r="CN24" s="496">
        <f t="shared" si="29"/>
        <v>1</v>
      </c>
      <c r="CO24" s="433">
        <v>0</v>
      </c>
      <c r="CP24" s="483">
        <f t="shared" si="4"/>
        <v>1</v>
      </c>
      <c r="CQ24" s="431">
        <v>0</v>
      </c>
      <c r="CR24" s="431">
        <f t="shared" si="5"/>
        <v>1</v>
      </c>
      <c r="CS24" s="395">
        <v>0</v>
      </c>
      <c r="CT24" s="477">
        <f t="shared" si="6"/>
        <v>1</v>
      </c>
      <c r="CU24" s="395">
        <v>0</v>
      </c>
      <c r="CV24" s="481">
        <f t="shared" si="7"/>
        <v>1</v>
      </c>
      <c r="CW24" s="476">
        <v>0</v>
      </c>
      <c r="CX24" s="477">
        <f t="shared" si="8"/>
        <v>1</v>
      </c>
      <c r="CY24" s="627">
        <v>0</v>
      </c>
      <c r="CZ24" s="628">
        <f t="shared" si="41"/>
        <v>1</v>
      </c>
      <c r="DA24" s="646">
        <v>0</v>
      </c>
      <c r="DB24" s="477">
        <f t="shared" si="9"/>
        <v>1</v>
      </c>
      <c r="DC24" s="484"/>
      <c r="DD24" s="477">
        <f t="shared" si="10"/>
        <v>1</v>
      </c>
      <c r="DE24" s="563">
        <v>1</v>
      </c>
      <c r="DF24" s="559">
        <f t="shared" si="30"/>
        <v>0.5</v>
      </c>
      <c r="DG24" s="561">
        <v>1</v>
      </c>
      <c r="DH24" s="559">
        <f t="shared" si="31"/>
        <v>0.875</v>
      </c>
      <c r="DI24" s="433"/>
      <c r="DJ24" s="477">
        <f t="shared" si="11"/>
        <v>1</v>
      </c>
      <c r="DK24" s="395">
        <v>0</v>
      </c>
      <c r="DL24" s="431">
        <v>1</v>
      </c>
      <c r="DM24" s="561">
        <v>0</v>
      </c>
      <c r="DN24" s="559">
        <v>1</v>
      </c>
      <c r="DO24" s="395"/>
      <c r="DP24" s="508">
        <f t="shared" si="12"/>
        <v>1</v>
      </c>
      <c r="DQ24" s="631">
        <v>3.5555555555555554</v>
      </c>
      <c r="DR24" s="628">
        <v>0.8128654970760234</v>
      </c>
      <c r="DS24" s="395"/>
      <c r="DT24" s="485">
        <f t="shared" si="13"/>
        <v>1</v>
      </c>
      <c r="DU24" s="486"/>
      <c r="DV24" s="477">
        <v>1</v>
      </c>
      <c r="DW24" s="486"/>
      <c r="DX24" s="486"/>
      <c r="DY24" s="477">
        <v>1</v>
      </c>
      <c r="DZ24" s="486"/>
      <c r="EA24" s="486"/>
      <c r="EB24" s="477">
        <v>1</v>
      </c>
      <c r="EC24" s="486"/>
      <c r="ED24" s="486"/>
      <c r="EE24" s="477">
        <v>1</v>
      </c>
      <c r="EF24" s="486"/>
      <c r="EG24" s="486"/>
      <c r="EH24" s="477">
        <v>1</v>
      </c>
      <c r="EI24" s="486"/>
      <c r="EJ24" s="486"/>
      <c r="EK24" s="477">
        <v>1</v>
      </c>
      <c r="EL24" s="486"/>
      <c r="EM24" s="486"/>
      <c r="EN24" s="477"/>
      <c r="EO24" s="431"/>
      <c r="EP24" s="431"/>
      <c r="EQ24" s="477"/>
      <c r="ER24" s="431">
        <f t="shared" si="32"/>
        <v>20.643395194850676</v>
      </c>
      <c r="ES24" s="395">
        <v>10</v>
      </c>
      <c r="ET24" s="431" t="s">
        <v>117</v>
      </c>
      <c r="EU24" s="442"/>
      <c r="EV24" s="442">
        <v>20.94788285343631</v>
      </c>
      <c r="EW24" s="442">
        <v>21</v>
      </c>
      <c r="EX24" s="442">
        <v>1.552704073700215</v>
      </c>
      <c r="EY24" s="442" t="s">
        <v>116</v>
      </c>
      <c r="EZ24" s="440">
        <f t="shared" si="14"/>
        <v>3.5555555555555554</v>
      </c>
    </row>
    <row r="25" spans="1:156" s="54" customFormat="1" ht="18.75">
      <c r="A25" s="474">
        <v>16</v>
      </c>
      <c r="B25" s="488" t="s">
        <v>133</v>
      </c>
      <c r="C25" s="635">
        <v>0</v>
      </c>
      <c r="D25" s="628">
        <v>1</v>
      </c>
      <c r="E25" s="476"/>
      <c r="F25" s="477">
        <v>1</v>
      </c>
      <c r="G25" s="500">
        <v>2355.84</v>
      </c>
      <c r="H25" s="498">
        <v>2639.73092</v>
      </c>
      <c r="I25" s="432">
        <f t="shared" si="43"/>
        <v>-0.12050517861994015</v>
      </c>
      <c r="J25" s="479">
        <v>0</v>
      </c>
      <c r="K25" s="564">
        <v>8122.71186</v>
      </c>
      <c r="L25" s="546">
        <v>9010.62006</v>
      </c>
      <c r="M25" s="61">
        <f t="shared" si="0"/>
        <v>0.901459811412801</v>
      </c>
      <c r="N25" s="480">
        <v>1</v>
      </c>
      <c r="O25" s="564">
        <v>8122.71186</v>
      </c>
      <c r="P25" s="565">
        <v>8518.61738</v>
      </c>
      <c r="Q25" s="58">
        <f t="shared" si="42"/>
        <v>0.9535246739770815</v>
      </c>
      <c r="R25" s="547">
        <v>1</v>
      </c>
      <c r="S25" s="564">
        <f>8122.71186-1004.50646</f>
        <v>7118.205400000001</v>
      </c>
      <c r="T25" s="546"/>
      <c r="U25" s="564">
        <f>4932.8455-841.443</f>
        <v>4091.4025</v>
      </c>
      <c r="V25" s="491">
        <f t="shared" si="15"/>
        <v>1.7397959257247364</v>
      </c>
      <c r="W25" s="35">
        <f t="shared" si="16"/>
        <v>1</v>
      </c>
      <c r="X25" s="549">
        <v>1018.93279</v>
      </c>
      <c r="Y25" s="549">
        <v>725.3051</v>
      </c>
      <c r="Z25" s="492">
        <f t="shared" si="34"/>
        <v>0.7118282060586155</v>
      </c>
      <c r="AA25" s="550">
        <f t="shared" si="1"/>
        <v>0.2881717939413845</v>
      </c>
      <c r="AB25" s="549">
        <v>725.3051</v>
      </c>
      <c r="AC25" s="551">
        <f>8122.71186-221.8125-243.55-6</f>
        <v>7651.34936</v>
      </c>
      <c r="AD25" s="61">
        <f>AB25/AC25*100%</f>
        <v>0.09479440368933827</v>
      </c>
      <c r="AE25" s="552">
        <f t="shared" si="17"/>
        <v>0.9052055963106618</v>
      </c>
      <c r="AF25" s="553">
        <v>887.9082</v>
      </c>
      <c r="AG25" s="546">
        <v>9010.62006</v>
      </c>
      <c r="AH25" s="601">
        <v>152.56146</v>
      </c>
      <c r="AI25" s="58">
        <f>AF25/(AG25-AH25)*100%</f>
        <v>0.10023733642945194</v>
      </c>
      <c r="AJ25" s="555">
        <v>1</v>
      </c>
      <c r="AK25" s="557">
        <v>-643.78395</v>
      </c>
      <c r="AL25" s="557">
        <v>0</v>
      </c>
      <c r="AM25" s="557">
        <v>643.8</v>
      </c>
      <c r="AN25" s="480">
        <v>0</v>
      </c>
      <c r="AO25" s="567">
        <v>2971.28</v>
      </c>
      <c r="AP25" s="573">
        <v>3701.5</v>
      </c>
      <c r="AQ25" s="432">
        <f t="shared" si="37"/>
        <v>0.8027232203160881</v>
      </c>
      <c r="AR25" s="395">
        <v>1</v>
      </c>
      <c r="AS25" s="431"/>
      <c r="AT25" s="605"/>
      <c r="AU25" s="543">
        <v>16530.07</v>
      </c>
      <c r="AV25" s="575">
        <v>5315.92</v>
      </c>
      <c r="AW25" s="432">
        <f t="shared" si="18"/>
        <v>0.3215908946544086</v>
      </c>
      <c r="AX25" s="577">
        <v>1</v>
      </c>
      <c r="AY25" s="567">
        <v>2876.98</v>
      </c>
      <c r="AZ25" s="580">
        <f t="shared" si="19"/>
        <v>96.8262836218734</v>
      </c>
      <c r="BA25" s="580">
        <f t="shared" si="20"/>
        <v>54.12007705157339</v>
      </c>
      <c r="BB25" s="581">
        <v>0.5</v>
      </c>
      <c r="BC25" s="581">
        <v>1</v>
      </c>
      <c r="BD25" s="586">
        <v>2511</v>
      </c>
      <c r="BE25" s="584">
        <f t="shared" si="21"/>
        <v>16530.07</v>
      </c>
      <c r="BF25" s="585">
        <f t="shared" si="22"/>
        <v>80.43131050921589</v>
      </c>
      <c r="BG25" s="577">
        <v>1</v>
      </c>
      <c r="BH25" s="581">
        <f>BE25*100/BE56</f>
        <v>2.041432708210095</v>
      </c>
      <c r="BI25" s="431">
        <f t="shared" si="2"/>
        <v>85.97540453945774</v>
      </c>
      <c r="BJ25" s="431">
        <f t="shared" si="3"/>
        <v>15.454078536872501</v>
      </c>
      <c r="BK25" s="580">
        <v>2554.57</v>
      </c>
      <c r="BL25" s="431">
        <f t="shared" si="23"/>
        <v>2511</v>
      </c>
      <c r="BM25" s="432">
        <f t="shared" si="24"/>
        <v>0.7304020895058131</v>
      </c>
      <c r="BN25" s="577">
        <v>0</v>
      </c>
      <c r="BO25" s="533">
        <v>7127.9</v>
      </c>
      <c r="BP25" s="533">
        <v>3351.32</v>
      </c>
      <c r="BQ25" s="431">
        <f t="shared" si="38"/>
        <v>47.01693345866245</v>
      </c>
      <c r="BR25" s="432">
        <f t="shared" si="39"/>
        <v>0.47016933458662447</v>
      </c>
      <c r="BS25" s="585">
        <v>0</v>
      </c>
      <c r="BT25" s="594">
        <f t="shared" si="25"/>
        <v>16530.07</v>
      </c>
      <c r="BU25" s="597">
        <v>1</v>
      </c>
      <c r="BV25" s="598">
        <v>1</v>
      </c>
      <c r="BW25" s="600">
        <v>8.617988700564972</v>
      </c>
      <c r="BX25" s="622">
        <v>0.9138201129943503</v>
      </c>
      <c r="BY25" s="627">
        <v>0</v>
      </c>
      <c r="BZ25" s="628">
        <f t="shared" si="40"/>
        <v>1</v>
      </c>
      <c r="CA25" s="638">
        <v>0</v>
      </c>
      <c r="CB25" s="42">
        <f t="shared" si="26"/>
        <v>1</v>
      </c>
      <c r="CC25" s="561">
        <v>0</v>
      </c>
      <c r="CD25" s="559">
        <f t="shared" si="27"/>
        <v>1</v>
      </c>
      <c r="CE25" s="395">
        <v>0</v>
      </c>
      <c r="CF25" s="395">
        <v>1</v>
      </c>
      <c r="CG25" s="395">
        <v>0</v>
      </c>
      <c r="CH25" s="431">
        <v>1</v>
      </c>
      <c r="CI25" s="395">
        <v>0</v>
      </c>
      <c r="CJ25" s="395">
        <v>1</v>
      </c>
      <c r="CK25" s="431">
        <v>0</v>
      </c>
      <c r="CL25" s="563">
        <v>1</v>
      </c>
      <c r="CM25" s="430">
        <f t="shared" si="28"/>
        <v>0</v>
      </c>
      <c r="CN25" s="496">
        <f t="shared" si="29"/>
        <v>1</v>
      </c>
      <c r="CO25" s="433">
        <v>0</v>
      </c>
      <c r="CP25" s="483">
        <f t="shared" si="4"/>
        <v>1</v>
      </c>
      <c r="CQ25" s="431">
        <v>0</v>
      </c>
      <c r="CR25" s="431">
        <f t="shared" si="5"/>
        <v>1</v>
      </c>
      <c r="CS25" s="395">
        <v>0</v>
      </c>
      <c r="CT25" s="477">
        <f t="shared" si="6"/>
        <v>1</v>
      </c>
      <c r="CU25" s="395">
        <v>0</v>
      </c>
      <c r="CV25" s="481">
        <f t="shared" si="7"/>
        <v>1</v>
      </c>
      <c r="CW25" s="476">
        <v>0</v>
      </c>
      <c r="CX25" s="477">
        <f t="shared" si="8"/>
        <v>1</v>
      </c>
      <c r="CY25" s="627">
        <v>0</v>
      </c>
      <c r="CZ25" s="628">
        <f t="shared" si="41"/>
        <v>1</v>
      </c>
      <c r="DA25" s="646">
        <v>0</v>
      </c>
      <c r="DB25" s="477">
        <f t="shared" si="9"/>
        <v>1</v>
      </c>
      <c r="DC25" s="484"/>
      <c r="DD25" s="477">
        <f t="shared" si="10"/>
        <v>1</v>
      </c>
      <c r="DE25" s="563">
        <v>1</v>
      </c>
      <c r="DF25" s="559">
        <f t="shared" si="30"/>
        <v>0.5</v>
      </c>
      <c r="DG25" s="561">
        <f>3+1+1+1+2</f>
        <v>8</v>
      </c>
      <c r="DH25" s="559">
        <f t="shared" si="31"/>
        <v>0</v>
      </c>
      <c r="DI25" s="433"/>
      <c r="DJ25" s="477">
        <f t="shared" si="11"/>
        <v>1</v>
      </c>
      <c r="DK25" s="395">
        <v>0</v>
      </c>
      <c r="DL25" s="431">
        <v>1</v>
      </c>
      <c r="DM25" s="561">
        <v>0</v>
      </c>
      <c r="DN25" s="559">
        <v>1</v>
      </c>
      <c r="DO25" s="395"/>
      <c r="DP25" s="508">
        <f t="shared" si="12"/>
        <v>1</v>
      </c>
      <c r="DQ25" s="631">
        <v>7.565789473684211</v>
      </c>
      <c r="DR25" s="628">
        <v>0.6018005540166205</v>
      </c>
      <c r="DS25" s="395"/>
      <c r="DT25" s="485">
        <f t="shared" si="13"/>
        <v>1</v>
      </c>
      <c r="DU25" s="486"/>
      <c r="DV25" s="477">
        <v>1</v>
      </c>
      <c r="DW25" s="486"/>
      <c r="DX25" s="486"/>
      <c r="DY25" s="477">
        <v>1</v>
      </c>
      <c r="DZ25" s="486"/>
      <c r="EA25" s="486"/>
      <c r="EB25" s="477">
        <v>1</v>
      </c>
      <c r="EC25" s="486"/>
      <c r="ED25" s="486"/>
      <c r="EE25" s="477">
        <v>1</v>
      </c>
      <c r="EF25" s="486"/>
      <c r="EG25" s="486"/>
      <c r="EH25" s="477">
        <v>1</v>
      </c>
      <c r="EI25" s="486"/>
      <c r="EJ25" s="486"/>
      <c r="EK25" s="477">
        <v>1</v>
      </c>
      <c r="EL25" s="486"/>
      <c r="EM25" s="486"/>
      <c r="EN25" s="477"/>
      <c r="EO25" s="431"/>
      <c r="EP25" s="431"/>
      <c r="EQ25" s="477"/>
      <c r="ER25" s="431">
        <f t="shared" si="32"/>
        <v>21.208998057263017</v>
      </c>
      <c r="ES25" s="395">
        <v>7</v>
      </c>
      <c r="ET25" s="431" t="s">
        <v>117</v>
      </c>
      <c r="EV25" s="54">
        <v>22.12619982637446</v>
      </c>
      <c r="EW25" s="54">
        <v>9</v>
      </c>
      <c r="EX25" s="54">
        <v>1.552704073700215</v>
      </c>
      <c r="EY25" s="54" t="s">
        <v>117</v>
      </c>
      <c r="EZ25" s="440">
        <f t="shared" si="14"/>
        <v>7.565789473684211</v>
      </c>
    </row>
    <row r="26" spans="1:156" s="442" customFormat="1" ht="24" customHeight="1">
      <c r="A26" s="474">
        <v>17</v>
      </c>
      <c r="B26" s="488" t="s">
        <v>134</v>
      </c>
      <c r="C26" s="635">
        <v>0</v>
      </c>
      <c r="D26" s="628">
        <v>1</v>
      </c>
      <c r="E26" s="476"/>
      <c r="F26" s="477">
        <v>1</v>
      </c>
      <c r="G26" s="500">
        <v>2763.90703</v>
      </c>
      <c r="H26" s="498">
        <v>2644.13732</v>
      </c>
      <c r="I26" s="432">
        <f t="shared" si="43"/>
        <v>0.04333347999769733</v>
      </c>
      <c r="J26" s="479">
        <f>1-(I26/20%)</f>
        <v>0.7833326000115134</v>
      </c>
      <c r="K26" s="564">
        <v>3553.32068</v>
      </c>
      <c r="L26" s="546">
        <v>11767.59955</v>
      </c>
      <c r="M26" s="61">
        <f t="shared" si="0"/>
        <v>0.3019579876849225</v>
      </c>
      <c r="N26" s="480">
        <v>0.5</v>
      </c>
      <c r="O26" s="564">
        <v>3553.32068</v>
      </c>
      <c r="P26" s="565">
        <v>6077.46</v>
      </c>
      <c r="Q26" s="58">
        <f t="shared" si="42"/>
        <v>0.5846719978412034</v>
      </c>
      <c r="R26" s="547">
        <f t="shared" si="33"/>
        <v>0.8352457112017192</v>
      </c>
      <c r="S26" s="564">
        <f>3553.32068-1087.80701</f>
        <v>2465.51367</v>
      </c>
      <c r="T26" s="546"/>
      <c r="U26" s="564">
        <f>2237.45115-910.54702</f>
        <v>1326.90413</v>
      </c>
      <c r="V26" s="491">
        <f t="shared" si="15"/>
        <v>1.8580948044829735</v>
      </c>
      <c r="W26" s="35">
        <f t="shared" si="16"/>
        <v>1</v>
      </c>
      <c r="X26" s="549">
        <v>2739.55998</v>
      </c>
      <c r="Y26" s="549">
        <v>2289.83373</v>
      </c>
      <c r="Z26" s="492">
        <f t="shared" si="34"/>
        <v>0.8358399694537806</v>
      </c>
      <c r="AA26" s="550">
        <f t="shared" si="1"/>
        <v>0.16416003054621942</v>
      </c>
      <c r="AB26" s="549">
        <v>2289.83373</v>
      </c>
      <c r="AC26" s="551">
        <f>3553.32068-475.81764-499.5</f>
        <v>2578.0030399999996</v>
      </c>
      <c r="AD26" s="61">
        <f t="shared" si="35"/>
        <v>0.8882199495001372</v>
      </c>
      <c r="AE26" s="552">
        <f t="shared" si="17"/>
        <v>0.11178005049986284</v>
      </c>
      <c r="AF26" s="553">
        <v>8214.27887</v>
      </c>
      <c r="AG26" s="546">
        <v>11767.59955</v>
      </c>
      <c r="AH26" s="601">
        <v>196.14463</v>
      </c>
      <c r="AI26" s="58">
        <f>AF26/(AG26-AH26)*100%</f>
        <v>0.709874335318242</v>
      </c>
      <c r="AJ26" s="555">
        <v>0.3</v>
      </c>
      <c r="AK26" s="557">
        <v>-1633.76238</v>
      </c>
      <c r="AL26" s="557">
        <v>-3489.77517</v>
      </c>
      <c r="AM26" s="557">
        <v>-1856</v>
      </c>
      <c r="AN26" s="480">
        <v>1</v>
      </c>
      <c r="AO26" s="567">
        <v>3992</v>
      </c>
      <c r="AP26" s="573">
        <v>3992.2</v>
      </c>
      <c r="AQ26" s="432">
        <f t="shared" si="37"/>
        <v>0.9999499023095035</v>
      </c>
      <c r="AR26" s="395">
        <v>1</v>
      </c>
      <c r="AS26" s="431"/>
      <c r="AT26" s="605"/>
      <c r="AU26" s="543">
        <v>18336.26</v>
      </c>
      <c r="AV26" s="575">
        <v>5980.23</v>
      </c>
      <c r="AW26" s="432">
        <f t="shared" si="18"/>
        <v>0.32614229946564893</v>
      </c>
      <c r="AX26" s="577">
        <v>1</v>
      </c>
      <c r="AY26" s="567">
        <v>3810</v>
      </c>
      <c r="AZ26" s="580">
        <f t="shared" si="19"/>
        <v>95.44088176352706</v>
      </c>
      <c r="BA26" s="580">
        <f t="shared" si="20"/>
        <v>63.7099242002398</v>
      </c>
      <c r="BB26" s="581">
        <v>0.5</v>
      </c>
      <c r="BC26" s="581">
        <v>1</v>
      </c>
      <c r="BD26" s="586">
        <v>2621</v>
      </c>
      <c r="BE26" s="584">
        <f t="shared" si="21"/>
        <v>18336.26</v>
      </c>
      <c r="BF26" s="585">
        <f t="shared" si="22"/>
        <v>85.47535288571108</v>
      </c>
      <c r="BG26" s="577">
        <v>0.9</v>
      </c>
      <c r="BH26" s="581">
        <f>BE26*100/BE32</f>
        <v>67.68572798593148</v>
      </c>
      <c r="BI26" s="431">
        <f t="shared" si="2"/>
        <v>19.163326653306612</v>
      </c>
      <c r="BJ26" s="431">
        <f t="shared" si="3"/>
        <v>4.172061260038852</v>
      </c>
      <c r="BK26" s="580">
        <v>765</v>
      </c>
      <c r="BL26" s="431">
        <f t="shared" si="23"/>
        <v>2621</v>
      </c>
      <c r="BM26" s="432">
        <f t="shared" si="24"/>
        <v>0.20954887143322004</v>
      </c>
      <c r="BN26" s="577">
        <v>0</v>
      </c>
      <c r="BO26" s="534">
        <v>11333.8</v>
      </c>
      <c r="BP26" s="534">
        <v>8659.4</v>
      </c>
      <c r="BQ26" s="431">
        <f t="shared" si="38"/>
        <v>76.40332456898834</v>
      </c>
      <c r="BR26" s="432">
        <f t="shared" si="39"/>
        <v>0.7640332456898834</v>
      </c>
      <c r="BS26" s="585">
        <v>0</v>
      </c>
      <c r="BT26" s="594">
        <f t="shared" si="25"/>
        <v>18336.26</v>
      </c>
      <c r="BU26" s="597">
        <v>1</v>
      </c>
      <c r="BV26" s="598">
        <v>1</v>
      </c>
      <c r="BW26" s="600">
        <v>14</v>
      </c>
      <c r="BX26" s="622">
        <v>0.86</v>
      </c>
      <c r="BY26" s="627">
        <v>0</v>
      </c>
      <c r="BZ26" s="628">
        <f t="shared" si="40"/>
        <v>1</v>
      </c>
      <c r="CA26" s="638">
        <v>0</v>
      </c>
      <c r="CB26" s="42">
        <f t="shared" si="26"/>
        <v>1</v>
      </c>
      <c r="CC26" s="561">
        <v>0</v>
      </c>
      <c r="CD26" s="559">
        <f t="shared" si="27"/>
        <v>1</v>
      </c>
      <c r="CE26" s="395">
        <v>0</v>
      </c>
      <c r="CF26" s="395">
        <v>1</v>
      </c>
      <c r="CG26" s="395">
        <v>0</v>
      </c>
      <c r="CH26" s="431">
        <v>1</v>
      </c>
      <c r="CI26" s="395">
        <v>0</v>
      </c>
      <c r="CJ26" s="395">
        <v>1</v>
      </c>
      <c r="CK26" s="431">
        <v>0</v>
      </c>
      <c r="CL26" s="563">
        <v>1</v>
      </c>
      <c r="CM26" s="430">
        <f t="shared" si="28"/>
        <v>0</v>
      </c>
      <c r="CN26" s="496">
        <f t="shared" si="29"/>
        <v>1</v>
      </c>
      <c r="CO26" s="433">
        <v>0</v>
      </c>
      <c r="CP26" s="483">
        <f t="shared" si="4"/>
        <v>1</v>
      </c>
      <c r="CQ26" s="431">
        <v>0</v>
      </c>
      <c r="CR26" s="431">
        <f t="shared" si="5"/>
        <v>1</v>
      </c>
      <c r="CS26" s="395">
        <v>0</v>
      </c>
      <c r="CT26" s="477">
        <f t="shared" si="6"/>
        <v>1</v>
      </c>
      <c r="CU26" s="395">
        <v>0</v>
      </c>
      <c r="CV26" s="481">
        <f t="shared" si="7"/>
        <v>1</v>
      </c>
      <c r="CW26" s="476">
        <v>0</v>
      </c>
      <c r="CX26" s="477">
        <f t="shared" si="8"/>
        <v>1</v>
      </c>
      <c r="CY26" s="627">
        <v>1</v>
      </c>
      <c r="CZ26" s="628">
        <f t="shared" si="41"/>
        <v>0.5</v>
      </c>
      <c r="DA26" s="646">
        <v>0</v>
      </c>
      <c r="DB26" s="477">
        <f t="shared" si="9"/>
        <v>1</v>
      </c>
      <c r="DC26" s="484"/>
      <c r="DD26" s="477">
        <f t="shared" si="10"/>
        <v>1</v>
      </c>
      <c r="DE26" s="563">
        <v>0</v>
      </c>
      <c r="DF26" s="559">
        <f t="shared" si="30"/>
        <v>1</v>
      </c>
      <c r="DG26" s="561">
        <v>0</v>
      </c>
      <c r="DH26" s="559">
        <f t="shared" si="31"/>
        <v>1</v>
      </c>
      <c r="DI26" s="433"/>
      <c r="DJ26" s="477">
        <f t="shared" si="11"/>
        <v>1</v>
      </c>
      <c r="DK26" s="395">
        <v>0</v>
      </c>
      <c r="DL26" s="431">
        <v>1</v>
      </c>
      <c r="DM26" s="561">
        <v>0</v>
      </c>
      <c r="DN26" s="559">
        <v>1</v>
      </c>
      <c r="DO26" s="395"/>
      <c r="DP26" s="508">
        <f t="shared" si="12"/>
        <v>1</v>
      </c>
      <c r="DQ26" s="631">
        <v>5.660377358490567</v>
      </c>
      <c r="DR26" s="628">
        <v>0.7020854021847069</v>
      </c>
      <c r="DS26" s="395"/>
      <c r="DT26" s="485">
        <f t="shared" si="13"/>
        <v>1</v>
      </c>
      <c r="DU26" s="486"/>
      <c r="DV26" s="477">
        <v>1</v>
      </c>
      <c r="DW26" s="486"/>
      <c r="DX26" s="486"/>
      <c r="DY26" s="477">
        <v>0</v>
      </c>
      <c r="DZ26" s="486"/>
      <c r="EA26" s="486"/>
      <c r="EB26" s="477">
        <v>0</v>
      </c>
      <c r="EC26" s="486"/>
      <c r="ED26" s="486"/>
      <c r="EE26" s="477">
        <v>1</v>
      </c>
      <c r="EF26" s="486"/>
      <c r="EG26" s="486"/>
      <c r="EH26" s="477">
        <v>1</v>
      </c>
      <c r="EI26" s="486"/>
      <c r="EJ26" s="486"/>
      <c r="EK26" s="477">
        <v>1</v>
      </c>
      <c r="EL26" s="486"/>
      <c r="EM26" s="486"/>
      <c r="EN26" s="477"/>
      <c r="EO26" s="431"/>
      <c r="EP26" s="431"/>
      <c r="EQ26" s="477"/>
      <c r="ER26" s="431">
        <f t="shared" si="32"/>
        <v>17.87327119443251</v>
      </c>
      <c r="ES26" s="395">
        <v>24</v>
      </c>
      <c r="ET26" s="431" t="s">
        <v>117</v>
      </c>
      <c r="EU26" s="54"/>
      <c r="EV26" s="54">
        <v>22.201410392222645</v>
      </c>
      <c r="EW26" s="54">
        <v>8</v>
      </c>
      <c r="EX26" s="54">
        <v>1.552704073700215</v>
      </c>
      <c r="EY26" s="54" t="s">
        <v>117</v>
      </c>
      <c r="EZ26" s="440">
        <f t="shared" si="14"/>
        <v>5.660377358490567</v>
      </c>
    </row>
    <row r="27" spans="1:156" s="54" customFormat="1" ht="18.75">
      <c r="A27" s="474">
        <v>18</v>
      </c>
      <c r="B27" s="488" t="s">
        <v>135</v>
      </c>
      <c r="C27" s="635">
        <v>0</v>
      </c>
      <c r="D27" s="628">
        <v>1</v>
      </c>
      <c r="E27" s="476"/>
      <c r="F27" s="431">
        <v>1</v>
      </c>
      <c r="G27" s="500">
        <v>2199.09444</v>
      </c>
      <c r="H27" s="498">
        <v>1788.68372</v>
      </c>
      <c r="I27" s="432">
        <f t="shared" si="43"/>
        <v>0.18662714639940606</v>
      </c>
      <c r="J27" s="479">
        <f>1-(I27/20%)</f>
        <v>0.06686426800296974</v>
      </c>
      <c r="K27" s="564">
        <v>3019.86603</v>
      </c>
      <c r="L27" s="546">
        <v>8000.93462</v>
      </c>
      <c r="M27" s="61">
        <f t="shared" si="0"/>
        <v>0.37743915847671305</v>
      </c>
      <c r="N27" s="480">
        <v>0.5</v>
      </c>
      <c r="O27" s="564">
        <v>3019.86603</v>
      </c>
      <c r="P27" s="565">
        <v>4110.7</v>
      </c>
      <c r="Q27" s="58">
        <f t="shared" si="42"/>
        <v>0.7346354708443819</v>
      </c>
      <c r="R27" s="547">
        <v>1</v>
      </c>
      <c r="S27" s="564">
        <f>3019.86603-627.20404</f>
        <v>2392.66199</v>
      </c>
      <c r="T27" s="546"/>
      <c r="U27" s="564">
        <f>1898.7357-487.79304</f>
        <v>1410.94266</v>
      </c>
      <c r="V27" s="491">
        <f t="shared" si="15"/>
        <v>1.6957896715661005</v>
      </c>
      <c r="W27" s="35">
        <f t="shared" si="16"/>
        <v>1</v>
      </c>
      <c r="X27" s="549">
        <v>423.14914</v>
      </c>
      <c r="Y27" s="549">
        <v>391.63233</v>
      </c>
      <c r="Z27" s="492">
        <f t="shared" si="34"/>
        <v>0.9255184354149935</v>
      </c>
      <c r="AA27" s="550">
        <f t="shared" si="1"/>
        <v>0.07448156458500654</v>
      </c>
      <c r="AB27" s="549">
        <v>391.63233</v>
      </c>
      <c r="AC27" s="551">
        <f>3019.86603-328.015-21.9912-983.5</f>
        <v>1686.3598300000003</v>
      </c>
      <c r="AD27" s="61">
        <f t="shared" si="35"/>
        <v>0.2322353290400661</v>
      </c>
      <c r="AE27" s="552">
        <f t="shared" si="17"/>
        <v>0.767764670959934</v>
      </c>
      <c r="AF27" s="553">
        <v>5231.49616</v>
      </c>
      <c r="AG27" s="546">
        <v>8000.93462</v>
      </c>
      <c r="AH27" s="601">
        <v>111.04</v>
      </c>
      <c r="AI27" s="58">
        <f t="shared" si="36"/>
        <v>0.6630628686394293</v>
      </c>
      <c r="AJ27" s="555">
        <v>0.5</v>
      </c>
      <c r="AK27" s="557">
        <v>-133.66473</v>
      </c>
      <c r="AL27" s="557">
        <v>-712.5726</v>
      </c>
      <c r="AM27" s="557">
        <v>-578.9</v>
      </c>
      <c r="AN27" s="480">
        <v>1</v>
      </c>
      <c r="AO27" s="567">
        <v>2880.78</v>
      </c>
      <c r="AP27" s="573">
        <v>3152.8</v>
      </c>
      <c r="AQ27" s="432">
        <f t="shared" si="37"/>
        <v>0.9137211367673179</v>
      </c>
      <c r="AR27" s="395">
        <v>1</v>
      </c>
      <c r="AS27" s="431"/>
      <c r="AT27" s="605"/>
      <c r="AU27" s="543">
        <v>9644.12</v>
      </c>
      <c r="AV27" s="575">
        <v>4638.78</v>
      </c>
      <c r="AW27" s="432">
        <f t="shared" si="18"/>
        <v>0.4809956740480209</v>
      </c>
      <c r="AX27" s="577">
        <v>1</v>
      </c>
      <c r="AY27" s="567">
        <v>2635.7</v>
      </c>
      <c r="AZ27" s="580">
        <f t="shared" si="19"/>
        <v>91.49258187018793</v>
      </c>
      <c r="BA27" s="580">
        <f t="shared" si="20"/>
        <v>56.81881874113453</v>
      </c>
      <c r="BB27" s="581">
        <v>0.5</v>
      </c>
      <c r="BC27" s="581">
        <v>1</v>
      </c>
      <c r="BD27" s="586">
        <v>1565</v>
      </c>
      <c r="BE27" s="584">
        <f t="shared" si="21"/>
        <v>9644.12</v>
      </c>
      <c r="BF27" s="585">
        <f t="shared" si="22"/>
        <v>75.29140970951465</v>
      </c>
      <c r="BG27" s="577">
        <v>1</v>
      </c>
      <c r="BH27" s="581">
        <f>BE27*100/BE48</f>
        <v>1.1910307705837386</v>
      </c>
      <c r="BI27" s="431">
        <f t="shared" si="2"/>
        <v>9.780684397975548</v>
      </c>
      <c r="BJ27" s="431">
        <f t="shared" si="3"/>
        <v>2.9215729377071207</v>
      </c>
      <c r="BK27" s="580">
        <v>281.76</v>
      </c>
      <c r="BL27" s="431">
        <f t="shared" si="23"/>
        <v>1565</v>
      </c>
      <c r="BM27" s="432">
        <f t="shared" si="24"/>
        <v>0.12925754668452305</v>
      </c>
      <c r="BN27" s="577">
        <v>0</v>
      </c>
      <c r="BO27" s="535">
        <v>5254.41</v>
      </c>
      <c r="BP27" s="535">
        <v>4336.32</v>
      </c>
      <c r="BQ27" s="431">
        <f t="shared" si="38"/>
        <v>82.527248539798</v>
      </c>
      <c r="BR27" s="432">
        <f t="shared" si="39"/>
        <v>0.8252724853979799</v>
      </c>
      <c r="BS27" s="585">
        <v>0</v>
      </c>
      <c r="BT27" s="594">
        <f t="shared" si="25"/>
        <v>9644.12</v>
      </c>
      <c r="BU27" s="597">
        <v>1</v>
      </c>
      <c r="BV27" s="598">
        <v>1</v>
      </c>
      <c r="BW27" s="600">
        <v>21</v>
      </c>
      <c r="BX27" s="622">
        <v>0.79</v>
      </c>
      <c r="BY27" s="627">
        <v>0</v>
      </c>
      <c r="BZ27" s="628">
        <f t="shared" si="40"/>
        <v>1</v>
      </c>
      <c r="CA27" s="638">
        <v>0</v>
      </c>
      <c r="CB27" s="42">
        <f t="shared" si="26"/>
        <v>1</v>
      </c>
      <c r="CC27" s="561">
        <v>0</v>
      </c>
      <c r="CD27" s="559">
        <f t="shared" si="27"/>
        <v>1</v>
      </c>
      <c r="CE27" s="395">
        <v>0</v>
      </c>
      <c r="CF27" s="395">
        <v>1</v>
      </c>
      <c r="CG27" s="395">
        <v>0</v>
      </c>
      <c r="CH27" s="431">
        <v>1</v>
      </c>
      <c r="CI27" s="395">
        <v>0</v>
      </c>
      <c r="CJ27" s="395">
        <v>1</v>
      </c>
      <c r="CK27" s="431">
        <v>0</v>
      </c>
      <c r="CL27" s="563">
        <v>1</v>
      </c>
      <c r="CM27" s="430">
        <f t="shared" si="28"/>
        <v>0</v>
      </c>
      <c r="CN27" s="496">
        <f t="shared" si="29"/>
        <v>1</v>
      </c>
      <c r="CO27" s="433">
        <v>0</v>
      </c>
      <c r="CP27" s="483">
        <f t="shared" si="4"/>
        <v>1</v>
      </c>
      <c r="CQ27" s="431">
        <v>0</v>
      </c>
      <c r="CR27" s="431">
        <f t="shared" si="5"/>
        <v>1</v>
      </c>
      <c r="CS27" s="395">
        <v>0</v>
      </c>
      <c r="CT27" s="431">
        <f t="shared" si="6"/>
        <v>1</v>
      </c>
      <c r="CU27" s="395">
        <v>0</v>
      </c>
      <c r="CV27" s="395">
        <f t="shared" si="7"/>
        <v>1</v>
      </c>
      <c r="CW27" s="476">
        <v>0</v>
      </c>
      <c r="CX27" s="431">
        <v>1</v>
      </c>
      <c r="CY27" s="627">
        <v>0</v>
      </c>
      <c r="CZ27" s="628">
        <f t="shared" si="41"/>
        <v>1</v>
      </c>
      <c r="DA27" s="647">
        <v>0</v>
      </c>
      <c r="DB27" s="477">
        <f t="shared" si="9"/>
        <v>1</v>
      </c>
      <c r="DC27" s="484"/>
      <c r="DD27" s="477">
        <f t="shared" si="10"/>
        <v>1</v>
      </c>
      <c r="DE27" s="563">
        <v>0</v>
      </c>
      <c r="DF27" s="559">
        <f t="shared" si="30"/>
        <v>1</v>
      </c>
      <c r="DG27" s="561">
        <v>0</v>
      </c>
      <c r="DH27" s="559">
        <f t="shared" si="31"/>
        <v>1</v>
      </c>
      <c r="DI27" s="433"/>
      <c r="DJ27" s="477">
        <f t="shared" si="11"/>
        <v>1</v>
      </c>
      <c r="DK27" s="395">
        <v>0</v>
      </c>
      <c r="DL27" s="431">
        <v>1</v>
      </c>
      <c r="DM27" s="561">
        <v>0</v>
      </c>
      <c r="DN27" s="559">
        <v>1</v>
      </c>
      <c r="DO27" s="395"/>
      <c r="DP27" s="508">
        <f t="shared" si="12"/>
        <v>1</v>
      </c>
      <c r="DQ27" s="631">
        <v>5.7251908396946565</v>
      </c>
      <c r="DR27" s="628">
        <v>0.6986741663318602</v>
      </c>
      <c r="DS27" s="395"/>
      <c r="DT27" s="485">
        <f t="shared" si="13"/>
        <v>1</v>
      </c>
      <c r="DU27" s="489"/>
      <c r="DV27" s="431">
        <v>1</v>
      </c>
      <c r="DW27" s="489"/>
      <c r="DX27" s="489"/>
      <c r="DY27" s="431">
        <v>1</v>
      </c>
      <c r="DZ27" s="489"/>
      <c r="EA27" s="489"/>
      <c r="EB27" s="431">
        <v>1</v>
      </c>
      <c r="EC27" s="489"/>
      <c r="ED27" s="489"/>
      <c r="EE27" s="431">
        <v>1</v>
      </c>
      <c r="EF27" s="489"/>
      <c r="EG27" s="489"/>
      <c r="EH27" s="431">
        <v>1</v>
      </c>
      <c r="EI27" s="489"/>
      <c r="EJ27" s="489"/>
      <c r="EK27" s="431">
        <v>1</v>
      </c>
      <c r="EL27" s="489"/>
      <c r="EM27" s="489"/>
      <c r="EN27" s="431"/>
      <c r="EO27" s="431"/>
      <c r="EP27" s="431"/>
      <c r="EQ27" s="431"/>
      <c r="ER27" s="431">
        <f t="shared" si="32"/>
        <v>20.8309204018768</v>
      </c>
      <c r="ES27" s="395">
        <v>9</v>
      </c>
      <c r="ET27" s="431" t="s">
        <v>117</v>
      </c>
      <c r="EV27" s="54">
        <v>20.3009034855816</v>
      </c>
      <c r="EW27" s="54">
        <v>17</v>
      </c>
      <c r="EX27" s="54">
        <v>1.552704073700215</v>
      </c>
      <c r="EY27" s="54" t="s">
        <v>116</v>
      </c>
      <c r="EZ27" s="440">
        <f t="shared" si="14"/>
        <v>5.7251908396946565</v>
      </c>
    </row>
    <row r="28" spans="1:156" s="54" customFormat="1" ht="18.75">
      <c r="A28" s="474">
        <v>19</v>
      </c>
      <c r="B28" s="488" t="s">
        <v>136</v>
      </c>
      <c r="C28" s="635">
        <v>0</v>
      </c>
      <c r="D28" s="628">
        <v>1</v>
      </c>
      <c r="E28" s="476"/>
      <c r="F28" s="477">
        <v>1</v>
      </c>
      <c r="G28" s="500">
        <v>6930</v>
      </c>
      <c r="H28" s="498">
        <v>7751.723019999999</v>
      </c>
      <c r="I28" s="432">
        <f t="shared" si="43"/>
        <v>-0.11857475036075028</v>
      </c>
      <c r="J28" s="479">
        <v>0</v>
      </c>
      <c r="K28" s="564">
        <v>10696.90745</v>
      </c>
      <c r="L28" s="546">
        <v>15575.37508</v>
      </c>
      <c r="M28" s="61">
        <f t="shared" si="0"/>
        <v>0.6867832970350529</v>
      </c>
      <c r="N28" s="480">
        <v>0.8</v>
      </c>
      <c r="O28" s="564">
        <v>10696.90745</v>
      </c>
      <c r="P28" s="565">
        <v>12949.03505</v>
      </c>
      <c r="Q28" s="58">
        <f t="shared" si="42"/>
        <v>0.8260775732474367</v>
      </c>
      <c r="R28" s="547">
        <v>1</v>
      </c>
      <c r="S28" s="564">
        <f>10696.90745-1073.10691</f>
        <v>9623.80054</v>
      </c>
      <c r="T28" s="546"/>
      <c r="U28" s="564">
        <f>6154.34293-894.28724</f>
        <v>5260.05569</v>
      </c>
      <c r="V28" s="491">
        <f t="shared" si="15"/>
        <v>1.8296005037163399</v>
      </c>
      <c r="W28" s="35">
        <f t="shared" si="16"/>
        <v>1</v>
      </c>
      <c r="X28" s="549">
        <v>3831.23605</v>
      </c>
      <c r="Y28" s="549">
        <v>1283.93389</v>
      </c>
      <c r="Z28" s="492">
        <f t="shared" si="34"/>
        <v>0.33512262706966334</v>
      </c>
      <c r="AA28" s="550">
        <f t="shared" si="1"/>
        <v>0.6648773729303367</v>
      </c>
      <c r="AB28" s="549">
        <v>1283.93389</v>
      </c>
      <c r="AC28" s="551">
        <f>10696.90745-833.57322-58.5-1</f>
        <v>9803.83423</v>
      </c>
      <c r="AD28" s="61">
        <f t="shared" si="35"/>
        <v>0.13096242346398793</v>
      </c>
      <c r="AE28" s="552">
        <f t="shared" si="17"/>
        <v>0.8690375765360121</v>
      </c>
      <c r="AF28" s="553">
        <v>4878.46763</v>
      </c>
      <c r="AG28" s="546">
        <v>15575.37508</v>
      </c>
      <c r="AH28" s="601">
        <v>218.06991</v>
      </c>
      <c r="AI28" s="58">
        <f t="shared" si="36"/>
        <v>0.3176643021674095</v>
      </c>
      <c r="AJ28" s="555">
        <v>0.8</v>
      </c>
      <c r="AK28" s="557">
        <v>-1162.44295</v>
      </c>
      <c r="AL28" s="557">
        <v>-1990.4944</v>
      </c>
      <c r="AM28" s="557">
        <v>-828.1</v>
      </c>
      <c r="AN28" s="480">
        <v>1</v>
      </c>
      <c r="AO28" s="567">
        <v>3739.32</v>
      </c>
      <c r="AP28" s="573">
        <v>4424.6</v>
      </c>
      <c r="AQ28" s="432">
        <f t="shared" si="37"/>
        <v>0.8451204628666997</v>
      </c>
      <c r="AR28" s="395">
        <v>1</v>
      </c>
      <c r="AS28" s="431"/>
      <c r="AT28" s="605"/>
      <c r="AU28" s="543">
        <v>21320.41</v>
      </c>
      <c r="AV28" s="575">
        <v>7465.41</v>
      </c>
      <c r="AW28" s="432">
        <f t="shared" si="18"/>
        <v>0.3501532099992449</v>
      </c>
      <c r="AX28" s="577">
        <v>1</v>
      </c>
      <c r="AY28" s="567">
        <v>3427.4</v>
      </c>
      <c r="AZ28" s="580">
        <f t="shared" si="19"/>
        <v>91.65837638929003</v>
      </c>
      <c r="BA28" s="580">
        <f t="shared" si="20"/>
        <v>45.91040545663266</v>
      </c>
      <c r="BB28" s="581">
        <v>0.5</v>
      </c>
      <c r="BC28" s="581">
        <v>1</v>
      </c>
      <c r="BD28" s="586">
        <v>3626</v>
      </c>
      <c r="BE28" s="584">
        <f t="shared" si="21"/>
        <v>21320.41</v>
      </c>
      <c r="BF28" s="585">
        <f t="shared" si="22"/>
        <v>71.83976736459972</v>
      </c>
      <c r="BG28" s="577">
        <v>0.8</v>
      </c>
      <c r="BH28" s="581">
        <f>BE28*100/BE64</f>
        <v>2.63303073286741</v>
      </c>
      <c r="BI28" s="431">
        <f t="shared" si="2"/>
        <v>17.136805622412627</v>
      </c>
      <c r="BJ28" s="431">
        <f t="shared" si="3"/>
        <v>3.0055707183867475</v>
      </c>
      <c r="BK28" s="580">
        <v>640.8</v>
      </c>
      <c r="BL28" s="431">
        <f t="shared" si="23"/>
        <v>3626</v>
      </c>
      <c r="BM28" s="432">
        <f t="shared" si="24"/>
        <v>0.1268777929083568</v>
      </c>
      <c r="BN28" s="577">
        <v>0</v>
      </c>
      <c r="BO28" s="536">
        <v>6848.7</v>
      </c>
      <c r="BP28" s="536">
        <v>1393.46</v>
      </c>
      <c r="BQ28" s="431">
        <f t="shared" si="38"/>
        <v>20.346343101610525</v>
      </c>
      <c r="BR28" s="432">
        <f t="shared" si="39"/>
        <v>0.20346343101610526</v>
      </c>
      <c r="BS28" s="585">
        <v>0</v>
      </c>
      <c r="BT28" s="594">
        <f t="shared" si="25"/>
        <v>21320.41</v>
      </c>
      <c r="BU28" s="597">
        <v>1</v>
      </c>
      <c r="BV28" s="598">
        <v>1</v>
      </c>
      <c r="BW28" s="600">
        <v>0</v>
      </c>
      <c r="BX28" s="622">
        <v>1</v>
      </c>
      <c r="BY28" s="627">
        <v>0</v>
      </c>
      <c r="BZ28" s="628">
        <f t="shared" si="40"/>
        <v>1</v>
      </c>
      <c r="CA28" s="638">
        <v>0</v>
      </c>
      <c r="CB28" s="42">
        <f t="shared" si="26"/>
        <v>1</v>
      </c>
      <c r="CC28" s="561">
        <v>0</v>
      </c>
      <c r="CD28" s="559">
        <f t="shared" si="27"/>
        <v>1</v>
      </c>
      <c r="CE28" s="395">
        <v>0</v>
      </c>
      <c r="CF28" s="395">
        <v>1</v>
      </c>
      <c r="CG28" s="395">
        <v>0</v>
      </c>
      <c r="CH28" s="431">
        <v>1</v>
      </c>
      <c r="CI28" s="395">
        <v>0</v>
      </c>
      <c r="CJ28" s="395">
        <v>1</v>
      </c>
      <c r="CK28" s="431">
        <v>0</v>
      </c>
      <c r="CL28" s="563">
        <v>1</v>
      </c>
      <c r="CM28" s="430">
        <f t="shared" si="28"/>
        <v>0</v>
      </c>
      <c r="CN28" s="496">
        <f t="shared" si="29"/>
        <v>1</v>
      </c>
      <c r="CO28" s="433">
        <v>0</v>
      </c>
      <c r="CP28" s="483">
        <f t="shared" si="4"/>
        <v>1</v>
      </c>
      <c r="CQ28" s="431">
        <v>0</v>
      </c>
      <c r="CR28" s="431">
        <f t="shared" si="5"/>
        <v>1</v>
      </c>
      <c r="CS28" s="395">
        <v>0</v>
      </c>
      <c r="CT28" s="477">
        <f t="shared" si="6"/>
        <v>1</v>
      </c>
      <c r="CU28" s="395">
        <v>0</v>
      </c>
      <c r="CV28" s="481">
        <f t="shared" si="7"/>
        <v>1</v>
      </c>
      <c r="CW28" s="476">
        <v>0</v>
      </c>
      <c r="CX28" s="477">
        <f aca="true" t="shared" si="44" ref="CX28:CX33">1-CW28/5</f>
        <v>1</v>
      </c>
      <c r="CY28" s="627">
        <v>0</v>
      </c>
      <c r="CZ28" s="628">
        <f t="shared" si="41"/>
        <v>1</v>
      </c>
      <c r="DA28" s="646">
        <v>0</v>
      </c>
      <c r="DB28" s="477">
        <f t="shared" si="9"/>
        <v>1</v>
      </c>
      <c r="DC28" s="484"/>
      <c r="DD28" s="477">
        <f t="shared" si="10"/>
        <v>1</v>
      </c>
      <c r="DE28" s="563">
        <v>0</v>
      </c>
      <c r="DF28" s="559">
        <f t="shared" si="30"/>
        <v>1</v>
      </c>
      <c r="DG28" s="561">
        <v>1</v>
      </c>
      <c r="DH28" s="559">
        <f t="shared" si="31"/>
        <v>0.875</v>
      </c>
      <c r="DI28" s="433"/>
      <c r="DJ28" s="477">
        <f t="shared" si="11"/>
        <v>1</v>
      </c>
      <c r="DK28" s="395">
        <v>0</v>
      </c>
      <c r="DL28" s="431">
        <v>1</v>
      </c>
      <c r="DM28" s="561">
        <v>0</v>
      </c>
      <c r="DN28" s="559">
        <v>1</v>
      </c>
      <c r="DO28" s="395"/>
      <c r="DP28" s="508">
        <f t="shared" si="12"/>
        <v>1</v>
      </c>
      <c r="DQ28" s="631">
        <v>1.5151515151515151</v>
      </c>
      <c r="DR28" s="628">
        <v>0.9202551834130781</v>
      </c>
      <c r="DS28" s="395"/>
      <c r="DT28" s="485">
        <f t="shared" si="13"/>
        <v>1</v>
      </c>
      <c r="DU28" s="486"/>
      <c r="DV28" s="477">
        <v>1</v>
      </c>
      <c r="DW28" s="486"/>
      <c r="DX28" s="486"/>
      <c r="DY28" s="477">
        <v>0</v>
      </c>
      <c r="DZ28" s="486"/>
      <c r="EA28" s="486"/>
      <c r="EB28" s="477">
        <v>0</v>
      </c>
      <c r="EC28" s="486"/>
      <c r="ED28" s="486"/>
      <c r="EE28" s="477">
        <v>1</v>
      </c>
      <c r="EF28" s="486"/>
      <c r="EG28" s="486"/>
      <c r="EH28" s="477">
        <v>1</v>
      </c>
      <c r="EI28" s="486"/>
      <c r="EJ28" s="486"/>
      <c r="EK28" s="477">
        <v>1</v>
      </c>
      <c r="EL28" s="486"/>
      <c r="EM28" s="486"/>
      <c r="EN28" s="477"/>
      <c r="EO28" s="431"/>
      <c r="EP28" s="431"/>
      <c r="EQ28" s="477"/>
      <c r="ER28" s="431">
        <f t="shared" si="32"/>
        <v>20.354170132879428</v>
      </c>
      <c r="ES28" s="395">
        <v>13</v>
      </c>
      <c r="ET28" s="431" t="s">
        <v>117</v>
      </c>
      <c r="EU28" s="80"/>
      <c r="EV28" s="54">
        <v>22.28579767269808</v>
      </c>
      <c r="EW28" s="54">
        <v>7</v>
      </c>
      <c r="EX28" s="54">
        <v>1.552704073700215</v>
      </c>
      <c r="EY28" s="54" t="s">
        <v>117</v>
      </c>
      <c r="EZ28" s="440">
        <f t="shared" si="14"/>
        <v>1.5151515151515151</v>
      </c>
    </row>
    <row r="29" spans="1:156" s="54" customFormat="1" ht="18.75">
      <c r="A29" s="474">
        <v>20</v>
      </c>
      <c r="B29" s="488" t="s">
        <v>137</v>
      </c>
      <c r="C29" s="635">
        <v>0</v>
      </c>
      <c r="D29" s="628">
        <v>1</v>
      </c>
      <c r="E29" s="476"/>
      <c r="F29" s="477">
        <v>1</v>
      </c>
      <c r="G29" s="500">
        <v>2647</v>
      </c>
      <c r="H29" s="498">
        <v>4644.663270000001</v>
      </c>
      <c r="I29" s="432">
        <f t="shared" si="43"/>
        <v>-0.7546895617680396</v>
      </c>
      <c r="J29" s="479">
        <v>0</v>
      </c>
      <c r="K29" s="564">
        <v>3586.83877</v>
      </c>
      <c r="L29" s="546">
        <v>9062.47941</v>
      </c>
      <c r="M29" s="61">
        <f t="shared" si="0"/>
        <v>0.3957900048900635</v>
      </c>
      <c r="N29" s="480">
        <v>0.5</v>
      </c>
      <c r="O29" s="564">
        <v>3586.83877</v>
      </c>
      <c r="P29" s="565">
        <v>6700.93093</v>
      </c>
      <c r="Q29" s="58">
        <f t="shared" si="42"/>
        <v>0.5352746965263825</v>
      </c>
      <c r="R29" s="547">
        <f t="shared" si="33"/>
        <v>0.7646781378948322</v>
      </c>
      <c r="S29" s="564">
        <f>3586.83877-759.50489</f>
        <v>2827.3338799999997</v>
      </c>
      <c r="T29" s="546"/>
      <c r="U29" s="564">
        <f>2501.84482-634.13097</f>
        <v>1867.7138499999996</v>
      </c>
      <c r="V29" s="491">
        <f t="shared" si="15"/>
        <v>1.5137939251240227</v>
      </c>
      <c r="W29" s="35">
        <f t="shared" si="16"/>
        <v>1</v>
      </c>
      <c r="X29" s="549">
        <v>856.5823</v>
      </c>
      <c r="Y29" s="549">
        <v>747.48513</v>
      </c>
      <c r="Z29" s="492">
        <f t="shared" si="34"/>
        <v>0.8726366748414017</v>
      </c>
      <c r="AA29" s="550">
        <f t="shared" si="1"/>
        <v>0.12736332515859827</v>
      </c>
      <c r="AB29" s="549">
        <v>747.48513</v>
      </c>
      <c r="AC29" s="551">
        <f>3586.83877-291.4644-143.88772-1519.2-0.1</f>
        <v>1632.1866499999999</v>
      </c>
      <c r="AD29" s="61">
        <f>AB29/AC29*100%</f>
        <v>0.457965472269976</v>
      </c>
      <c r="AE29" s="552">
        <f t="shared" si="17"/>
        <v>0.542034527730024</v>
      </c>
      <c r="AF29" s="553">
        <v>5462.16064</v>
      </c>
      <c r="AG29" s="546">
        <v>9062.47941</v>
      </c>
      <c r="AH29" s="601">
        <v>176.062</v>
      </c>
      <c r="AI29" s="58">
        <f t="shared" si="36"/>
        <v>0.6146639740164985</v>
      </c>
      <c r="AJ29" s="555">
        <v>0.5</v>
      </c>
      <c r="AK29" s="557">
        <v>-66.2601</v>
      </c>
      <c r="AL29" s="557">
        <v>-380.67168</v>
      </c>
      <c r="AM29" s="557">
        <v>-314.4</v>
      </c>
      <c r="AN29" s="480">
        <v>1</v>
      </c>
      <c r="AO29" s="567">
        <v>3468.6</v>
      </c>
      <c r="AP29" s="573">
        <v>3664.9</v>
      </c>
      <c r="AQ29" s="432">
        <f t="shared" si="37"/>
        <v>0.9464378291358563</v>
      </c>
      <c r="AR29" s="395">
        <v>1</v>
      </c>
      <c r="AS29" s="431"/>
      <c r="AT29" s="605"/>
      <c r="AU29" s="543">
        <v>12627.09</v>
      </c>
      <c r="AV29" s="575">
        <v>5684.55</v>
      </c>
      <c r="AW29" s="432">
        <f t="shared" si="18"/>
        <v>0.45018686015542775</v>
      </c>
      <c r="AX29" s="577">
        <v>1</v>
      </c>
      <c r="AY29" s="567">
        <v>2929.55</v>
      </c>
      <c r="AZ29" s="580">
        <f t="shared" si="19"/>
        <v>84.4591477829672</v>
      </c>
      <c r="BA29" s="580">
        <f t="shared" si="20"/>
        <v>51.535301826881636</v>
      </c>
      <c r="BB29" s="581">
        <v>1</v>
      </c>
      <c r="BC29" s="581">
        <v>1</v>
      </c>
      <c r="BD29" s="586">
        <v>2485</v>
      </c>
      <c r="BE29" s="584">
        <f t="shared" si="21"/>
        <v>12627.09</v>
      </c>
      <c r="BF29" s="585">
        <f t="shared" si="22"/>
        <v>62.08319340205396</v>
      </c>
      <c r="BG29" s="577">
        <v>1</v>
      </c>
      <c r="BH29" s="581">
        <f>BE29*100/BE18</f>
        <v>15.397930689928957</v>
      </c>
      <c r="BI29" s="431">
        <f t="shared" si="2"/>
        <v>80.00576601510696</v>
      </c>
      <c r="BJ29" s="431">
        <f t="shared" si="3"/>
        <v>21.977193478465743</v>
      </c>
      <c r="BK29" s="580">
        <v>2775.08</v>
      </c>
      <c r="BL29" s="431">
        <f t="shared" si="23"/>
        <v>2485</v>
      </c>
      <c r="BM29" s="432">
        <f t="shared" si="24"/>
        <v>0.8017519528048371</v>
      </c>
      <c r="BN29" s="577">
        <v>0</v>
      </c>
      <c r="BO29" s="537">
        <v>5614.46</v>
      </c>
      <c r="BP29" s="537">
        <v>4629.43</v>
      </c>
      <c r="BQ29" s="431">
        <f t="shared" si="38"/>
        <v>82.45548102577986</v>
      </c>
      <c r="BR29" s="432">
        <f t="shared" si="39"/>
        <v>0.8245548102577986</v>
      </c>
      <c r="BS29" s="585">
        <v>0</v>
      </c>
      <c r="BT29" s="594">
        <f t="shared" si="25"/>
        <v>12627.09</v>
      </c>
      <c r="BU29" s="597">
        <v>1</v>
      </c>
      <c r="BV29" s="598">
        <v>1</v>
      </c>
      <c r="BW29" s="600">
        <v>0</v>
      </c>
      <c r="BX29" s="622">
        <v>1</v>
      </c>
      <c r="BY29" s="627">
        <v>0</v>
      </c>
      <c r="BZ29" s="628">
        <f t="shared" si="40"/>
        <v>1</v>
      </c>
      <c r="CA29" s="638">
        <v>0</v>
      </c>
      <c r="CB29" s="42">
        <f t="shared" si="26"/>
        <v>1</v>
      </c>
      <c r="CC29" s="561">
        <v>0</v>
      </c>
      <c r="CD29" s="559">
        <f t="shared" si="27"/>
        <v>1</v>
      </c>
      <c r="CE29" s="395">
        <v>0</v>
      </c>
      <c r="CF29" s="395">
        <v>1</v>
      </c>
      <c r="CG29" s="395">
        <v>0</v>
      </c>
      <c r="CH29" s="431">
        <v>1</v>
      </c>
      <c r="CI29" s="395">
        <v>0</v>
      </c>
      <c r="CJ29" s="395">
        <v>1</v>
      </c>
      <c r="CK29" s="431">
        <v>0</v>
      </c>
      <c r="CL29" s="563">
        <v>1</v>
      </c>
      <c r="CM29" s="430">
        <f t="shared" si="28"/>
        <v>0</v>
      </c>
      <c r="CN29" s="496">
        <f t="shared" si="29"/>
        <v>1</v>
      </c>
      <c r="CO29" s="433">
        <v>0</v>
      </c>
      <c r="CP29" s="483">
        <f t="shared" si="4"/>
        <v>1</v>
      </c>
      <c r="CQ29" s="431">
        <v>0</v>
      </c>
      <c r="CR29" s="431">
        <f t="shared" si="5"/>
        <v>1</v>
      </c>
      <c r="CS29" s="395">
        <v>0</v>
      </c>
      <c r="CT29" s="477">
        <f t="shared" si="6"/>
        <v>1</v>
      </c>
      <c r="CU29" s="395">
        <v>0</v>
      </c>
      <c r="CV29" s="481">
        <f t="shared" si="7"/>
        <v>1</v>
      </c>
      <c r="CW29" s="476">
        <v>0</v>
      </c>
      <c r="CX29" s="477">
        <f t="shared" si="44"/>
        <v>1</v>
      </c>
      <c r="CY29" s="627">
        <v>0</v>
      </c>
      <c r="CZ29" s="628">
        <f t="shared" si="41"/>
        <v>1</v>
      </c>
      <c r="DA29" s="646">
        <v>0</v>
      </c>
      <c r="DB29" s="477">
        <f t="shared" si="9"/>
        <v>1</v>
      </c>
      <c r="DC29" s="484"/>
      <c r="DD29" s="477">
        <f t="shared" si="10"/>
        <v>1</v>
      </c>
      <c r="DE29" s="563">
        <v>1</v>
      </c>
      <c r="DF29" s="559">
        <f t="shared" si="30"/>
        <v>0.5</v>
      </c>
      <c r="DG29" s="561">
        <v>0</v>
      </c>
      <c r="DH29" s="559">
        <f t="shared" si="31"/>
        <v>1</v>
      </c>
      <c r="DI29" s="433"/>
      <c r="DJ29" s="477">
        <f t="shared" si="11"/>
        <v>1</v>
      </c>
      <c r="DK29" s="395">
        <v>0</v>
      </c>
      <c r="DL29" s="431">
        <v>1</v>
      </c>
      <c r="DM29" s="561">
        <v>0</v>
      </c>
      <c r="DN29" s="559">
        <v>1</v>
      </c>
      <c r="DO29" s="395"/>
      <c r="DP29" s="508">
        <f t="shared" si="12"/>
        <v>1</v>
      </c>
      <c r="DQ29" s="631">
        <v>3.1746031746031744</v>
      </c>
      <c r="DR29" s="628">
        <v>0.8329156223893066</v>
      </c>
      <c r="DS29" s="395"/>
      <c r="DT29" s="485">
        <f t="shared" si="13"/>
        <v>1</v>
      </c>
      <c r="DU29" s="486"/>
      <c r="DV29" s="477">
        <v>1</v>
      </c>
      <c r="DW29" s="486">
        <v>1</v>
      </c>
      <c r="DX29" s="486"/>
      <c r="DY29" s="477">
        <v>1</v>
      </c>
      <c r="DZ29" s="486"/>
      <c r="EA29" s="486"/>
      <c r="EB29" s="477">
        <v>1</v>
      </c>
      <c r="EC29" s="486"/>
      <c r="ED29" s="486"/>
      <c r="EE29" s="477">
        <v>1</v>
      </c>
      <c r="EF29" s="486"/>
      <c r="EG29" s="486"/>
      <c r="EH29" s="477">
        <v>1</v>
      </c>
      <c r="EI29" s="486"/>
      <c r="EJ29" s="486"/>
      <c r="EK29" s="477">
        <v>1</v>
      </c>
      <c r="EL29" s="486"/>
      <c r="EM29" s="486"/>
      <c r="EN29" s="477"/>
      <c r="EO29" s="431"/>
      <c r="EP29" s="431"/>
      <c r="EQ29" s="477"/>
      <c r="ER29" s="431">
        <f t="shared" si="32"/>
        <v>21.266991613172763</v>
      </c>
      <c r="ES29" s="395">
        <v>5</v>
      </c>
      <c r="ET29" s="431" t="s">
        <v>117</v>
      </c>
      <c r="EV29" s="54">
        <v>20.75320703499068</v>
      </c>
      <c r="EW29" s="54">
        <v>22</v>
      </c>
      <c r="EX29" s="54">
        <v>1.552704073700215</v>
      </c>
      <c r="EY29" s="54" t="s">
        <v>116</v>
      </c>
      <c r="EZ29" s="440">
        <f t="shared" si="14"/>
        <v>3.1746031746031744</v>
      </c>
    </row>
    <row r="30" spans="1:156" s="54" customFormat="1" ht="23.25" customHeight="1">
      <c r="A30" s="474">
        <v>21</v>
      </c>
      <c r="B30" s="488" t="s">
        <v>138</v>
      </c>
      <c r="C30" s="635">
        <v>0</v>
      </c>
      <c r="D30" s="628">
        <v>1</v>
      </c>
      <c r="E30" s="476"/>
      <c r="F30" s="477">
        <v>1</v>
      </c>
      <c r="G30" s="500">
        <v>4700.24384</v>
      </c>
      <c r="H30" s="498">
        <v>5774.73067</v>
      </c>
      <c r="I30" s="432">
        <f t="shared" si="43"/>
        <v>-0.22860235906399268</v>
      </c>
      <c r="J30" s="479">
        <v>0</v>
      </c>
      <c r="K30" s="564">
        <v>6383.7371</v>
      </c>
      <c r="L30" s="546">
        <v>80019.50651</v>
      </c>
      <c r="M30" s="61">
        <f t="shared" si="0"/>
        <v>0.07977726155062237</v>
      </c>
      <c r="N30" s="480">
        <v>0.3</v>
      </c>
      <c r="O30" s="564">
        <v>6383.7371</v>
      </c>
      <c r="P30" s="565">
        <v>9249.96589</v>
      </c>
      <c r="Q30" s="58">
        <f t="shared" si="42"/>
        <v>0.690136285464724</v>
      </c>
      <c r="R30" s="547">
        <f t="shared" si="33"/>
        <v>0.9859089792353202</v>
      </c>
      <c r="S30" s="564">
        <f>6383.7371-1450.40933</f>
        <v>4933.32777</v>
      </c>
      <c r="T30" s="546"/>
      <c r="U30" s="564">
        <f>6118.8335-1211.35271</f>
        <v>4907.48079</v>
      </c>
      <c r="V30" s="491">
        <f t="shared" si="15"/>
        <v>1.0052668530160462</v>
      </c>
      <c r="W30" s="35">
        <f t="shared" si="16"/>
        <v>1</v>
      </c>
      <c r="X30" s="549">
        <v>1129.6994</v>
      </c>
      <c r="Y30" s="549">
        <v>1058.61441</v>
      </c>
      <c r="Z30" s="492">
        <f t="shared" si="34"/>
        <v>0.9370761903564788</v>
      </c>
      <c r="AA30" s="550">
        <f t="shared" si="1"/>
        <v>0.06292380964352118</v>
      </c>
      <c r="AB30" s="549">
        <v>1058.61441</v>
      </c>
      <c r="AC30" s="551">
        <f>6383.7371-273.3276-136.98-92.75221-70.25</f>
        <v>5810.427290000001</v>
      </c>
      <c r="AD30" s="61">
        <f t="shared" si="35"/>
        <v>0.18219217919169584</v>
      </c>
      <c r="AE30" s="552">
        <f t="shared" si="17"/>
        <v>0.8178078208083042</v>
      </c>
      <c r="AF30" s="553">
        <v>70697.36941</v>
      </c>
      <c r="AG30" s="546">
        <v>80019.50651</v>
      </c>
      <c r="AH30" s="601">
        <v>313.443</v>
      </c>
      <c r="AI30" s="58">
        <f t="shared" si="36"/>
        <v>0.886976050462337</v>
      </c>
      <c r="AJ30" s="555">
        <v>0.3</v>
      </c>
      <c r="AK30" s="557">
        <v>-2430.66085</v>
      </c>
      <c r="AL30" s="557">
        <v>-2614.84</v>
      </c>
      <c r="AM30" s="557">
        <v>-184.1</v>
      </c>
      <c r="AN30" s="480">
        <v>1</v>
      </c>
      <c r="AO30" s="567">
        <v>4138.75</v>
      </c>
      <c r="AP30" s="573">
        <v>4750.6</v>
      </c>
      <c r="AQ30" s="432">
        <f t="shared" si="37"/>
        <v>0.8712057424325348</v>
      </c>
      <c r="AR30" s="395">
        <v>1</v>
      </c>
      <c r="AS30" s="431"/>
      <c r="AT30" s="605"/>
      <c r="AU30" s="543">
        <v>88050.11</v>
      </c>
      <c r="AV30" s="575">
        <v>10525.03</v>
      </c>
      <c r="AW30" s="432">
        <f t="shared" si="18"/>
        <v>0.11953454686200847</v>
      </c>
      <c r="AX30" s="577">
        <v>1</v>
      </c>
      <c r="AY30" s="567">
        <v>4111.45</v>
      </c>
      <c r="AZ30" s="580">
        <f t="shared" si="19"/>
        <v>99.34038054968288</v>
      </c>
      <c r="BA30" s="580">
        <f t="shared" si="20"/>
        <v>39.06354661221868</v>
      </c>
      <c r="BB30" s="581">
        <v>0.5</v>
      </c>
      <c r="BC30" s="581">
        <v>1</v>
      </c>
      <c r="BD30" s="586">
        <v>5174</v>
      </c>
      <c r="BE30" s="584">
        <f t="shared" si="21"/>
        <v>88050.11</v>
      </c>
      <c r="BF30" s="585">
        <f t="shared" si="22"/>
        <v>207.92209549706016</v>
      </c>
      <c r="BG30" s="577">
        <v>1</v>
      </c>
      <c r="BH30" s="581">
        <f>BE30*100/BE59</f>
        <v>10.874023795150096</v>
      </c>
      <c r="BI30" s="431">
        <f t="shared" si="2"/>
        <v>1612.8459075807914</v>
      </c>
      <c r="BJ30" s="431">
        <f t="shared" si="3"/>
        <v>75.81098990109155</v>
      </c>
      <c r="BK30" s="580">
        <v>66751.66</v>
      </c>
      <c r="BL30" s="431">
        <f t="shared" si="23"/>
        <v>5174</v>
      </c>
      <c r="BM30" s="432">
        <f t="shared" si="24"/>
        <v>9.262464531195349</v>
      </c>
      <c r="BN30" s="577">
        <v>1</v>
      </c>
      <c r="BO30" s="538">
        <v>72796.56</v>
      </c>
      <c r="BP30" s="538">
        <v>69666.99</v>
      </c>
      <c r="BQ30" s="431">
        <f t="shared" si="38"/>
        <v>95.70093696735121</v>
      </c>
      <c r="BR30" s="432">
        <f t="shared" si="39"/>
        <v>0.9570093696735121</v>
      </c>
      <c r="BS30" s="585">
        <v>0</v>
      </c>
      <c r="BT30" s="594">
        <f t="shared" si="25"/>
        <v>88050.11</v>
      </c>
      <c r="BU30" s="597">
        <v>1</v>
      </c>
      <c r="BV30" s="598">
        <v>1</v>
      </c>
      <c r="BW30" s="600">
        <v>0</v>
      </c>
      <c r="BX30" s="622">
        <v>1</v>
      </c>
      <c r="BY30" s="627">
        <v>0</v>
      </c>
      <c r="BZ30" s="628">
        <f t="shared" si="40"/>
        <v>1</v>
      </c>
      <c r="CA30" s="638" t="s">
        <v>184</v>
      </c>
      <c r="CB30" s="36" t="s">
        <v>184</v>
      </c>
      <c r="CC30" s="561">
        <v>0</v>
      </c>
      <c r="CD30" s="559">
        <f t="shared" si="27"/>
        <v>1</v>
      </c>
      <c r="CE30" s="395">
        <v>0</v>
      </c>
      <c r="CF30" s="395">
        <v>1</v>
      </c>
      <c r="CG30" s="395">
        <v>0</v>
      </c>
      <c r="CH30" s="431">
        <v>1</v>
      </c>
      <c r="CI30" s="395">
        <v>0</v>
      </c>
      <c r="CJ30" s="395">
        <v>1</v>
      </c>
      <c r="CK30" s="431">
        <v>0</v>
      </c>
      <c r="CL30" s="563">
        <v>1</v>
      </c>
      <c r="CM30" s="430">
        <f>BY30+CC30+CE30+CG30+CI30+CK30</f>
        <v>0</v>
      </c>
      <c r="CN30" s="496">
        <f t="shared" si="29"/>
        <v>1</v>
      </c>
      <c r="CO30" s="433">
        <v>0</v>
      </c>
      <c r="CP30" s="483">
        <f t="shared" si="4"/>
        <v>1</v>
      </c>
      <c r="CQ30" s="431">
        <v>0</v>
      </c>
      <c r="CR30" s="431">
        <f t="shared" si="5"/>
        <v>1</v>
      </c>
      <c r="CS30" s="395">
        <v>0</v>
      </c>
      <c r="CT30" s="477">
        <f t="shared" si="6"/>
        <v>1</v>
      </c>
      <c r="CU30" s="395">
        <v>0</v>
      </c>
      <c r="CV30" s="481">
        <f t="shared" si="7"/>
        <v>1</v>
      </c>
      <c r="CW30" s="476">
        <v>0</v>
      </c>
      <c r="CX30" s="477">
        <f t="shared" si="44"/>
        <v>1</v>
      </c>
      <c r="CY30" s="627">
        <v>0</v>
      </c>
      <c r="CZ30" s="628">
        <f t="shared" si="41"/>
        <v>1</v>
      </c>
      <c r="DA30" s="646">
        <v>0</v>
      </c>
      <c r="DB30" s="477">
        <f t="shared" si="9"/>
        <v>1</v>
      </c>
      <c r="DC30" s="484"/>
      <c r="DD30" s="477">
        <f t="shared" si="10"/>
        <v>1</v>
      </c>
      <c r="DE30" s="563">
        <v>0</v>
      </c>
      <c r="DF30" s="559">
        <f t="shared" si="30"/>
        <v>1</v>
      </c>
      <c r="DG30" s="561">
        <f>3+1+1+1+2</f>
        <v>8</v>
      </c>
      <c r="DH30" s="559">
        <f t="shared" si="31"/>
        <v>0</v>
      </c>
      <c r="DI30" s="433"/>
      <c r="DJ30" s="477">
        <f t="shared" si="11"/>
        <v>1</v>
      </c>
      <c r="DK30" s="395">
        <v>0</v>
      </c>
      <c r="DL30" s="431">
        <v>1</v>
      </c>
      <c r="DM30" s="561">
        <v>0</v>
      </c>
      <c r="DN30" s="559">
        <v>1</v>
      </c>
      <c r="DO30" s="395"/>
      <c r="DP30" s="508">
        <f t="shared" si="12"/>
        <v>1</v>
      </c>
      <c r="DQ30" s="631">
        <v>5.353319057815846</v>
      </c>
      <c r="DR30" s="628">
        <v>0.7182463653781134</v>
      </c>
      <c r="DS30" s="395"/>
      <c r="DT30" s="485">
        <f t="shared" si="13"/>
        <v>1</v>
      </c>
      <c r="DU30" s="486"/>
      <c r="DV30" s="477">
        <v>1</v>
      </c>
      <c r="DW30" s="486"/>
      <c r="DX30" s="486"/>
      <c r="DY30" s="477">
        <v>1</v>
      </c>
      <c r="DZ30" s="486"/>
      <c r="EA30" s="486"/>
      <c r="EB30" s="477">
        <v>1</v>
      </c>
      <c r="EC30" s="486"/>
      <c r="ED30" s="486"/>
      <c r="EE30" s="477">
        <v>1</v>
      </c>
      <c r="EF30" s="486"/>
      <c r="EG30" s="486"/>
      <c r="EH30" s="477">
        <v>1</v>
      </c>
      <c r="EI30" s="486"/>
      <c r="EJ30" s="486"/>
      <c r="EK30" s="477">
        <v>1</v>
      </c>
      <c r="EL30" s="486"/>
      <c r="EM30" s="486"/>
      <c r="EN30" s="477"/>
      <c r="EO30" s="431"/>
      <c r="EP30" s="431"/>
      <c r="EQ30" s="477"/>
      <c r="ER30" s="431">
        <f t="shared" si="32"/>
        <v>21.68488697506526</v>
      </c>
      <c r="ES30" s="395">
        <v>3</v>
      </c>
      <c r="ET30" s="431" t="s">
        <v>117</v>
      </c>
      <c r="EU30" s="80"/>
      <c r="EV30" s="54">
        <v>19.83964054628982</v>
      </c>
      <c r="EW30" s="54">
        <v>23</v>
      </c>
      <c r="EX30" s="54">
        <v>1.552704073700215</v>
      </c>
      <c r="EY30" s="54" t="s">
        <v>116</v>
      </c>
      <c r="EZ30" s="440">
        <f t="shared" si="14"/>
        <v>5.353319057815846</v>
      </c>
    </row>
    <row r="31" spans="1:156" s="322" customFormat="1" ht="18.75">
      <c r="A31" s="474">
        <v>22</v>
      </c>
      <c r="B31" s="488" t="s">
        <v>139</v>
      </c>
      <c r="C31" s="635">
        <v>0</v>
      </c>
      <c r="D31" s="628">
        <v>1</v>
      </c>
      <c r="E31" s="476"/>
      <c r="F31" s="477">
        <v>1</v>
      </c>
      <c r="G31" s="500">
        <v>5053.1</v>
      </c>
      <c r="H31" s="498">
        <v>6835.41324</v>
      </c>
      <c r="I31" s="432">
        <f t="shared" si="43"/>
        <v>-0.352716795630405</v>
      </c>
      <c r="J31" s="479">
        <v>0</v>
      </c>
      <c r="K31" s="564">
        <v>13196.35365</v>
      </c>
      <c r="L31" s="546">
        <v>14494.42713</v>
      </c>
      <c r="M31" s="61">
        <f t="shared" si="0"/>
        <v>0.9104432711719045</v>
      </c>
      <c r="N31" s="480">
        <v>1</v>
      </c>
      <c r="O31" s="564">
        <v>13196.35365</v>
      </c>
      <c r="P31" s="565">
        <v>19552.44</v>
      </c>
      <c r="Q31" s="58">
        <f t="shared" si="42"/>
        <v>0.6749210661175792</v>
      </c>
      <c r="R31" s="547">
        <f t="shared" si="33"/>
        <v>0.9641729515965417</v>
      </c>
      <c r="S31" s="564">
        <f>13196.35365-1229.90793</f>
        <v>11966.44572</v>
      </c>
      <c r="T31" s="546"/>
      <c r="U31" s="564">
        <f>11521.76217-1028.43034</f>
        <v>10493.33183</v>
      </c>
      <c r="V31" s="491">
        <f>S31/U31*100%</f>
        <v>1.1403857148392496</v>
      </c>
      <c r="W31" s="35">
        <f t="shared" si="16"/>
        <v>1</v>
      </c>
      <c r="X31" s="549">
        <v>94644.01585</v>
      </c>
      <c r="Y31" s="549">
        <v>92550.56399</v>
      </c>
      <c r="Z31" s="492">
        <f>Y31/X31*100%</f>
        <v>0.9778807794534217</v>
      </c>
      <c r="AA31" s="550">
        <f t="shared" si="1"/>
        <v>0.022119220546578333</v>
      </c>
      <c r="AB31" s="549">
        <v>92550.56399</v>
      </c>
      <c r="AC31" s="551">
        <f>13196.35365-954.24771-21.30353-10.24787</f>
        <v>12210.554540000001</v>
      </c>
      <c r="AD31" s="61">
        <f t="shared" si="35"/>
        <v>7.579554531026237</v>
      </c>
      <c r="AE31" s="552">
        <v>0</v>
      </c>
      <c r="AF31" s="553">
        <v>1291.61898</v>
      </c>
      <c r="AG31" s="546">
        <v>14494.42713</v>
      </c>
      <c r="AH31" s="601">
        <v>519.096</v>
      </c>
      <c r="AI31" s="58">
        <f t="shared" si="36"/>
        <v>0.09242135073475</v>
      </c>
      <c r="AJ31" s="555">
        <v>1</v>
      </c>
      <c r="AK31" s="557">
        <v>-3679.93</v>
      </c>
      <c r="AL31" s="557">
        <v>-7176.66367</v>
      </c>
      <c r="AM31" s="557">
        <v>-3496.8</v>
      </c>
      <c r="AN31" s="480">
        <v>1</v>
      </c>
      <c r="AO31" s="567">
        <v>4844.46</v>
      </c>
      <c r="AP31" s="573">
        <v>5516.5</v>
      </c>
      <c r="AQ31" s="432">
        <f t="shared" si="37"/>
        <v>0.8781763799510559</v>
      </c>
      <c r="AR31" s="395">
        <v>1</v>
      </c>
      <c r="AS31" s="431"/>
      <c r="AT31" s="605"/>
      <c r="AU31" s="543">
        <v>74562.32</v>
      </c>
      <c r="AV31" s="575">
        <v>8624.16</v>
      </c>
      <c r="AW31" s="432">
        <f t="shared" si="18"/>
        <v>0.1156637829938768</v>
      </c>
      <c r="AX31" s="577">
        <v>1</v>
      </c>
      <c r="AY31" s="567">
        <v>4506.41</v>
      </c>
      <c r="AZ31" s="580">
        <f t="shared" si="19"/>
        <v>93.02192607638416</v>
      </c>
      <c r="BA31" s="580">
        <f t="shared" si="20"/>
        <v>52.25332090313724</v>
      </c>
      <c r="BB31" s="581">
        <v>0.5</v>
      </c>
      <c r="BC31" s="581">
        <v>1</v>
      </c>
      <c r="BD31" s="586">
        <v>7651</v>
      </c>
      <c r="BE31" s="584">
        <f t="shared" si="21"/>
        <v>74562.32</v>
      </c>
      <c r="BF31" s="585">
        <f t="shared" si="22"/>
        <v>119.0689093543185</v>
      </c>
      <c r="BG31" s="577">
        <v>0.7</v>
      </c>
      <c r="BH31" s="581">
        <f>BE31*100/BE81</f>
        <v>9.208306973172391</v>
      </c>
      <c r="BI31" s="431">
        <f t="shared" si="2"/>
        <v>37.05263331723247</v>
      </c>
      <c r="BJ31" s="431">
        <f t="shared" si="3"/>
        <v>2.4073821737306456</v>
      </c>
      <c r="BK31" s="580">
        <v>1795</v>
      </c>
      <c r="BL31" s="431">
        <f t="shared" si="23"/>
        <v>7651</v>
      </c>
      <c r="BM31" s="432">
        <f t="shared" si="24"/>
        <v>0.1684368701750317</v>
      </c>
      <c r="BN31" s="577">
        <v>0</v>
      </c>
      <c r="BO31" s="539">
        <v>50535.89</v>
      </c>
      <c r="BP31" s="539">
        <v>1557.85</v>
      </c>
      <c r="BQ31" s="431">
        <f t="shared" si="38"/>
        <v>3.082660659582724</v>
      </c>
      <c r="BR31" s="432">
        <f t="shared" si="39"/>
        <v>0.03082660659582724</v>
      </c>
      <c r="BS31" s="585">
        <v>0</v>
      </c>
      <c r="BT31" s="594">
        <f t="shared" si="25"/>
        <v>74562.32</v>
      </c>
      <c r="BU31" s="597">
        <v>1</v>
      </c>
      <c r="BV31" s="598">
        <v>1</v>
      </c>
      <c r="BW31" s="600">
        <v>0</v>
      </c>
      <c r="BX31" s="622">
        <v>1</v>
      </c>
      <c r="BY31" s="627">
        <v>0</v>
      </c>
      <c r="BZ31" s="628">
        <f t="shared" si="40"/>
        <v>1</v>
      </c>
      <c r="CA31" s="638">
        <v>0</v>
      </c>
      <c r="CB31" s="42">
        <f t="shared" si="26"/>
        <v>1</v>
      </c>
      <c r="CC31" s="561">
        <v>0</v>
      </c>
      <c r="CD31" s="559">
        <f t="shared" si="27"/>
        <v>1</v>
      </c>
      <c r="CE31" s="395">
        <v>0</v>
      </c>
      <c r="CF31" s="395">
        <v>1</v>
      </c>
      <c r="CG31" s="395">
        <v>0</v>
      </c>
      <c r="CH31" s="431">
        <v>1</v>
      </c>
      <c r="CI31" s="395">
        <v>0</v>
      </c>
      <c r="CJ31" s="395">
        <v>1</v>
      </c>
      <c r="CK31" s="431">
        <v>0</v>
      </c>
      <c r="CL31" s="563">
        <v>1</v>
      </c>
      <c r="CM31" s="430">
        <f t="shared" si="28"/>
        <v>0</v>
      </c>
      <c r="CN31" s="496">
        <f t="shared" si="29"/>
        <v>1</v>
      </c>
      <c r="CO31" s="433">
        <v>0</v>
      </c>
      <c r="CP31" s="483">
        <f t="shared" si="4"/>
        <v>1</v>
      </c>
      <c r="CQ31" s="431">
        <v>0</v>
      </c>
      <c r="CR31" s="431">
        <f t="shared" si="5"/>
        <v>1</v>
      </c>
      <c r="CS31" s="395">
        <v>0</v>
      </c>
      <c r="CT31" s="477">
        <f t="shared" si="6"/>
        <v>1</v>
      </c>
      <c r="CU31" s="395">
        <v>0</v>
      </c>
      <c r="CV31" s="481">
        <f t="shared" si="7"/>
        <v>1</v>
      </c>
      <c r="CW31" s="476">
        <v>0</v>
      </c>
      <c r="CX31" s="477">
        <f t="shared" si="44"/>
        <v>1</v>
      </c>
      <c r="CY31" s="627">
        <v>0</v>
      </c>
      <c r="CZ31" s="628">
        <f t="shared" si="41"/>
        <v>1</v>
      </c>
      <c r="DA31" s="646">
        <v>0</v>
      </c>
      <c r="DB31" s="477">
        <f t="shared" si="9"/>
        <v>1</v>
      </c>
      <c r="DC31" s="484"/>
      <c r="DD31" s="477">
        <f t="shared" si="10"/>
        <v>1</v>
      </c>
      <c r="DE31" s="563">
        <v>0</v>
      </c>
      <c r="DF31" s="559">
        <f t="shared" si="30"/>
        <v>1</v>
      </c>
      <c r="DG31" s="561">
        <f>1+1</f>
        <v>2</v>
      </c>
      <c r="DH31" s="559">
        <f t="shared" si="31"/>
        <v>0.75</v>
      </c>
      <c r="DI31" s="433"/>
      <c r="DJ31" s="477">
        <f t="shared" si="11"/>
        <v>1</v>
      </c>
      <c r="DK31" s="395">
        <v>0</v>
      </c>
      <c r="DL31" s="431">
        <v>1</v>
      </c>
      <c r="DM31" s="561">
        <v>0</v>
      </c>
      <c r="DN31" s="559">
        <v>1</v>
      </c>
      <c r="DO31" s="395"/>
      <c r="DP31" s="508">
        <f t="shared" si="12"/>
        <v>1</v>
      </c>
      <c r="DQ31" s="631">
        <v>5.47945205479452</v>
      </c>
      <c r="DR31" s="628">
        <v>0.7116077865897621</v>
      </c>
      <c r="DS31" s="395"/>
      <c r="DT31" s="485">
        <f t="shared" si="13"/>
        <v>1</v>
      </c>
      <c r="DU31" s="486"/>
      <c r="DV31" s="477">
        <v>1</v>
      </c>
      <c r="DW31" s="486"/>
      <c r="DX31" s="486"/>
      <c r="DY31" s="477">
        <v>1</v>
      </c>
      <c r="DZ31" s="486"/>
      <c r="EA31" s="486"/>
      <c r="EB31" s="477">
        <v>1</v>
      </c>
      <c r="EC31" s="486"/>
      <c r="ED31" s="486"/>
      <c r="EE31" s="477">
        <v>1</v>
      </c>
      <c r="EF31" s="486"/>
      <c r="EG31" s="486"/>
      <c r="EH31" s="477">
        <v>0</v>
      </c>
      <c r="EI31" s="486"/>
      <c r="EJ31" s="486"/>
      <c r="EK31" s="477">
        <v>0</v>
      </c>
      <c r="EL31" s="486"/>
      <c r="EM31" s="486"/>
      <c r="EN31" s="477"/>
      <c r="EO31" s="431"/>
      <c r="EP31" s="431"/>
      <c r="EQ31" s="477"/>
      <c r="ER31" s="431">
        <f t="shared" si="32"/>
        <v>20.897899958732882</v>
      </c>
      <c r="ES31" s="395">
        <v>8</v>
      </c>
      <c r="ET31" s="431" t="s">
        <v>117</v>
      </c>
      <c r="EU31" s="439"/>
      <c r="EV31" s="322">
        <v>23.200326869018454</v>
      </c>
      <c r="EW31" s="322">
        <v>4</v>
      </c>
      <c r="EX31" s="322">
        <v>1.552704073700215</v>
      </c>
      <c r="EY31" s="322" t="s">
        <v>117</v>
      </c>
      <c r="EZ31" s="441">
        <f t="shared" si="14"/>
        <v>5.47945205479452</v>
      </c>
    </row>
    <row r="32" spans="1:156" s="322" customFormat="1" ht="37.5">
      <c r="A32" s="474">
        <v>23</v>
      </c>
      <c r="B32" s="488" t="s">
        <v>140</v>
      </c>
      <c r="C32" s="635">
        <v>0</v>
      </c>
      <c r="D32" s="628">
        <v>1</v>
      </c>
      <c r="E32" s="476"/>
      <c r="F32" s="477">
        <v>1</v>
      </c>
      <c r="G32" s="500">
        <v>5197.5</v>
      </c>
      <c r="H32" s="498">
        <v>16312.74193</v>
      </c>
      <c r="I32" s="432">
        <f t="shared" si="43"/>
        <v>-2.138574685906686</v>
      </c>
      <c r="J32" s="479">
        <v>0</v>
      </c>
      <c r="K32" s="564">
        <v>15400.97945</v>
      </c>
      <c r="L32" s="546">
        <v>15527.62298</v>
      </c>
      <c r="M32" s="61">
        <f t="shared" si="0"/>
        <v>0.9918439847384806</v>
      </c>
      <c r="N32" s="480">
        <v>1</v>
      </c>
      <c r="O32" s="564">
        <v>15400.97945</v>
      </c>
      <c r="P32" s="565">
        <v>14028.01719</v>
      </c>
      <c r="Q32" s="58">
        <f t="shared" si="42"/>
        <v>1.0978728669493454</v>
      </c>
      <c r="R32" s="547">
        <v>1</v>
      </c>
      <c r="S32" s="564">
        <f>15400.97945-2974.31916</f>
        <v>12426.66029</v>
      </c>
      <c r="T32" s="546"/>
      <c r="U32" s="564">
        <f>5056.84497-2487.74447</f>
        <v>2569.1005</v>
      </c>
      <c r="V32" s="491">
        <f>S32/U32*100%</f>
        <v>4.836969316692749</v>
      </c>
      <c r="W32" s="35">
        <f t="shared" si="16"/>
        <v>1</v>
      </c>
      <c r="X32" s="549">
        <v>2938.63443</v>
      </c>
      <c r="Y32" s="549">
        <v>2499.83658</v>
      </c>
      <c r="Z32" s="491">
        <f>Y32/X32*100%</f>
        <v>0.8506796743683426</v>
      </c>
      <c r="AA32" s="550">
        <f t="shared" si="1"/>
        <v>0.14932032563165742</v>
      </c>
      <c r="AB32" s="549">
        <v>2499.83658</v>
      </c>
      <c r="AC32" s="551">
        <f>15400.97945-6091.07403</f>
        <v>9309.905420000001</v>
      </c>
      <c r="AD32" s="61">
        <f t="shared" si="35"/>
        <v>0.2685136386702412</v>
      </c>
      <c r="AE32" s="552">
        <f t="shared" si="17"/>
        <v>0.7314863613297589</v>
      </c>
      <c r="AF32" s="553">
        <v>126.64353</v>
      </c>
      <c r="AG32" s="546">
        <v>15527.62298</v>
      </c>
      <c r="AH32" s="601">
        <v>101.17046</v>
      </c>
      <c r="AI32" s="58">
        <f t="shared" si="36"/>
        <v>0.008209504410415156</v>
      </c>
      <c r="AJ32" s="555">
        <v>1</v>
      </c>
      <c r="AK32" s="603">
        <v>-7618.07836</v>
      </c>
      <c r="AL32" s="603">
        <v>-3874.95862</v>
      </c>
      <c r="AM32" s="556">
        <v>3743.1</v>
      </c>
      <c r="AN32" s="480">
        <v>0</v>
      </c>
      <c r="AO32" s="567">
        <v>3669.3</v>
      </c>
      <c r="AP32" s="573">
        <v>3669.3</v>
      </c>
      <c r="AQ32" s="432">
        <f t="shared" si="37"/>
        <v>1</v>
      </c>
      <c r="AR32" s="395">
        <v>1</v>
      </c>
      <c r="AS32" s="431"/>
      <c r="AT32" s="605"/>
      <c r="AU32" s="543">
        <v>27090.29</v>
      </c>
      <c r="AV32" s="575">
        <v>7427.92</v>
      </c>
      <c r="AW32" s="432">
        <f t="shared" si="18"/>
        <v>0.27419123235668574</v>
      </c>
      <c r="AX32" s="577">
        <v>1</v>
      </c>
      <c r="AY32" s="567">
        <v>3669.3</v>
      </c>
      <c r="AZ32" s="580">
        <f t="shared" si="19"/>
        <v>100</v>
      </c>
      <c r="BA32" s="580">
        <f t="shared" si="20"/>
        <v>49.39875496774332</v>
      </c>
      <c r="BB32" s="581">
        <v>0.5</v>
      </c>
      <c r="BC32" s="581">
        <v>1</v>
      </c>
      <c r="BD32" s="586">
        <v>2427</v>
      </c>
      <c r="BE32" s="584">
        <f t="shared" si="21"/>
        <v>27090.29</v>
      </c>
      <c r="BF32" s="585">
        <f t="shared" si="22"/>
        <v>136.37697177791267</v>
      </c>
      <c r="BG32" s="577">
        <v>1</v>
      </c>
      <c r="BH32" s="581">
        <f>BE32*100/BE68</f>
        <v>3.345600114270348</v>
      </c>
      <c r="BI32" s="431">
        <f t="shared" si="2"/>
        <v>67.04657564113046</v>
      </c>
      <c r="BJ32" s="431">
        <f t="shared" si="3"/>
        <v>9.081261219425853</v>
      </c>
      <c r="BK32" s="580">
        <v>2460.14</v>
      </c>
      <c r="BL32" s="431">
        <f t="shared" si="23"/>
        <v>2427</v>
      </c>
      <c r="BM32" s="432">
        <f t="shared" si="24"/>
        <v>0.7277478951382993</v>
      </c>
      <c r="BN32" s="577">
        <v>0</v>
      </c>
      <c r="BO32" s="540">
        <v>5271.27</v>
      </c>
      <c r="BP32" s="540">
        <v>0</v>
      </c>
      <c r="BQ32" s="431">
        <f t="shared" si="38"/>
        <v>0</v>
      </c>
      <c r="BR32" s="432">
        <f t="shared" si="39"/>
        <v>0</v>
      </c>
      <c r="BS32" s="585">
        <v>0</v>
      </c>
      <c r="BT32" s="594">
        <f t="shared" si="25"/>
        <v>27090.29</v>
      </c>
      <c r="BU32" s="597">
        <v>1</v>
      </c>
      <c r="BV32" s="598">
        <v>1</v>
      </c>
      <c r="BW32" s="600">
        <v>0</v>
      </c>
      <c r="BX32" s="622">
        <v>1</v>
      </c>
      <c r="BY32" s="627">
        <v>0</v>
      </c>
      <c r="BZ32" s="628">
        <f t="shared" si="40"/>
        <v>1</v>
      </c>
      <c r="CA32" s="638">
        <v>0</v>
      </c>
      <c r="CB32" s="42">
        <f t="shared" si="26"/>
        <v>1</v>
      </c>
      <c r="CC32" s="561">
        <v>0</v>
      </c>
      <c r="CD32" s="559">
        <f t="shared" si="27"/>
        <v>1</v>
      </c>
      <c r="CE32" s="395">
        <v>0</v>
      </c>
      <c r="CF32" s="395">
        <v>1</v>
      </c>
      <c r="CG32" s="395">
        <v>0</v>
      </c>
      <c r="CH32" s="431">
        <v>1</v>
      </c>
      <c r="CI32" s="395">
        <v>0</v>
      </c>
      <c r="CJ32" s="395">
        <v>1</v>
      </c>
      <c r="CK32" s="431">
        <v>0</v>
      </c>
      <c r="CL32" s="563">
        <v>1</v>
      </c>
      <c r="CM32" s="430">
        <f t="shared" si="28"/>
        <v>0</v>
      </c>
      <c r="CN32" s="496">
        <f t="shared" si="29"/>
        <v>1</v>
      </c>
      <c r="CO32" s="433">
        <v>0</v>
      </c>
      <c r="CP32" s="483">
        <f t="shared" si="4"/>
        <v>1</v>
      </c>
      <c r="CQ32" s="431">
        <v>0</v>
      </c>
      <c r="CR32" s="431">
        <f t="shared" si="5"/>
        <v>1</v>
      </c>
      <c r="CS32" s="395">
        <v>0</v>
      </c>
      <c r="CT32" s="477">
        <f t="shared" si="6"/>
        <v>1</v>
      </c>
      <c r="CU32" s="395">
        <v>0</v>
      </c>
      <c r="CV32" s="481">
        <f t="shared" si="7"/>
        <v>1</v>
      </c>
      <c r="CW32" s="476">
        <v>0</v>
      </c>
      <c r="CX32" s="477">
        <f t="shared" si="44"/>
        <v>1</v>
      </c>
      <c r="CY32" s="627">
        <v>0</v>
      </c>
      <c r="CZ32" s="628">
        <f t="shared" si="41"/>
        <v>1</v>
      </c>
      <c r="DA32" s="646">
        <v>0</v>
      </c>
      <c r="DB32" s="477">
        <f t="shared" si="9"/>
        <v>1</v>
      </c>
      <c r="DC32" s="484"/>
      <c r="DD32" s="477">
        <f t="shared" si="10"/>
        <v>1</v>
      </c>
      <c r="DE32" s="563">
        <v>2</v>
      </c>
      <c r="DF32" s="559">
        <f t="shared" si="30"/>
        <v>0</v>
      </c>
      <c r="DG32" s="561">
        <f>3+1+1+1+2</f>
        <v>8</v>
      </c>
      <c r="DH32" s="559">
        <f t="shared" si="31"/>
        <v>0</v>
      </c>
      <c r="DI32" s="433"/>
      <c r="DJ32" s="477">
        <f t="shared" si="11"/>
        <v>1</v>
      </c>
      <c r="DK32" s="395">
        <v>0</v>
      </c>
      <c r="DL32" s="431">
        <v>1</v>
      </c>
      <c r="DM32" s="561">
        <v>0</v>
      </c>
      <c r="DN32" s="559">
        <v>1</v>
      </c>
      <c r="DO32" s="395"/>
      <c r="DP32" s="508">
        <f t="shared" si="12"/>
        <v>1</v>
      </c>
      <c r="DQ32" s="631">
        <v>4.201680672268908</v>
      </c>
      <c r="DR32" s="628">
        <v>0.778858911985847</v>
      </c>
      <c r="DS32" s="395"/>
      <c r="DT32" s="485">
        <f t="shared" si="13"/>
        <v>1</v>
      </c>
      <c r="DU32" s="486"/>
      <c r="DV32" s="477">
        <v>1</v>
      </c>
      <c r="DW32" s="486"/>
      <c r="DX32" s="486"/>
      <c r="DY32" s="477">
        <v>1</v>
      </c>
      <c r="DZ32" s="486"/>
      <c r="EA32" s="486"/>
      <c r="EB32" s="477">
        <v>1</v>
      </c>
      <c r="EC32" s="486"/>
      <c r="ED32" s="486"/>
      <c r="EE32" s="477">
        <v>1</v>
      </c>
      <c r="EF32" s="486"/>
      <c r="EG32" s="486"/>
      <c r="EH32" s="477">
        <v>1</v>
      </c>
      <c r="EI32" s="486"/>
      <c r="EJ32" s="486"/>
      <c r="EK32" s="477">
        <v>1</v>
      </c>
      <c r="EL32" s="486"/>
      <c r="EM32" s="486"/>
      <c r="EN32" s="477"/>
      <c r="EO32" s="431"/>
      <c r="EP32" s="431"/>
      <c r="EQ32" s="477"/>
      <c r="ER32" s="431">
        <f t="shared" si="32"/>
        <v>21.15966559894726</v>
      </c>
      <c r="ES32" s="395">
        <v>6</v>
      </c>
      <c r="ET32" s="431" t="s">
        <v>117</v>
      </c>
      <c r="EU32" s="439"/>
      <c r="EV32" s="322">
        <v>23.403887077031523</v>
      </c>
      <c r="EW32" s="322">
        <v>3</v>
      </c>
      <c r="EX32" s="322">
        <v>1.552704073700215</v>
      </c>
      <c r="EY32" s="322" t="s">
        <v>119</v>
      </c>
      <c r="EZ32" s="441">
        <f t="shared" si="14"/>
        <v>4.201680672268908</v>
      </c>
    </row>
    <row r="33" spans="1:156" s="109" customFormat="1" ht="21.75" customHeight="1" thickBot="1">
      <c r="A33" s="474">
        <v>24</v>
      </c>
      <c r="B33" s="488" t="s">
        <v>141</v>
      </c>
      <c r="C33" s="636">
        <v>0</v>
      </c>
      <c r="D33" s="628">
        <v>1</v>
      </c>
      <c r="E33" s="476"/>
      <c r="F33" s="477">
        <v>1</v>
      </c>
      <c r="G33" s="500">
        <v>6947.9237</v>
      </c>
      <c r="H33" s="498">
        <v>7813.12724</v>
      </c>
      <c r="I33" s="432">
        <f>(G33-H33)/G33*100%</f>
        <v>-0.12452692017904565</v>
      </c>
      <c r="J33" s="479">
        <v>0</v>
      </c>
      <c r="K33" s="564">
        <v>7415.34582</v>
      </c>
      <c r="L33" s="546">
        <v>68433.79742</v>
      </c>
      <c r="M33" s="61">
        <f t="shared" si="0"/>
        <v>0.10835794738219277</v>
      </c>
      <c r="N33" s="480">
        <v>0.3</v>
      </c>
      <c r="O33" s="564">
        <v>7415.34582</v>
      </c>
      <c r="P33" s="565">
        <v>12089.92113</v>
      </c>
      <c r="Q33" s="58">
        <f>O33/P33*100%</f>
        <v>0.613349395770624</v>
      </c>
      <c r="R33" s="547">
        <f t="shared" si="33"/>
        <v>0.8762134225294629</v>
      </c>
      <c r="S33" s="564">
        <f>7415.34582-774.20498</f>
        <v>6641.14084</v>
      </c>
      <c r="T33" s="546"/>
      <c r="U33" s="564">
        <f>6726.35832-646.32579</f>
        <v>6080.03253</v>
      </c>
      <c r="V33" s="491">
        <f>S33/U33*100%</f>
        <v>1.0922870572207284</v>
      </c>
      <c r="W33" s="35">
        <f t="shared" si="16"/>
        <v>1</v>
      </c>
      <c r="X33" s="549">
        <v>715.2312</v>
      </c>
      <c r="Y33" s="549">
        <v>624.31854</v>
      </c>
      <c r="Z33" s="491">
        <f>Y33/X33*100%</f>
        <v>0.8728905282655455</v>
      </c>
      <c r="AA33" s="550">
        <f t="shared" si="1"/>
        <v>0.12710947173445453</v>
      </c>
      <c r="AB33" s="549">
        <v>624.31854</v>
      </c>
      <c r="AC33" s="551">
        <f>7415.34582-364.77652-1609.51708-553.85354-7.41928</f>
        <v>4879.779399999999</v>
      </c>
      <c r="AD33" s="61">
        <f t="shared" si="35"/>
        <v>0.12793991056235043</v>
      </c>
      <c r="AE33" s="552">
        <f>IF(0&lt;AD33&gt;100%,1-AD33/100%,0)</f>
        <v>0.8720600894376496</v>
      </c>
      <c r="AF33" s="553">
        <v>61018.4516</v>
      </c>
      <c r="AG33" s="546">
        <v>68433.79742</v>
      </c>
      <c r="AH33" s="601">
        <v>79.00911</v>
      </c>
      <c r="AI33" s="58">
        <f>AF33/(AG33-AH33)*100%</f>
        <v>0.8926726731018677</v>
      </c>
      <c r="AJ33" s="555">
        <v>0.3</v>
      </c>
      <c r="AK33" s="557">
        <v>-177.92493</v>
      </c>
      <c r="AL33" s="557">
        <v>120.25571</v>
      </c>
      <c r="AM33" s="557">
        <v>57.6</v>
      </c>
      <c r="AN33" s="480">
        <v>0</v>
      </c>
      <c r="AO33" s="567">
        <v>2662.13</v>
      </c>
      <c r="AP33" s="573">
        <v>3054.4</v>
      </c>
      <c r="AQ33" s="432">
        <f t="shared" si="37"/>
        <v>0.8715721581980095</v>
      </c>
      <c r="AR33" s="395">
        <v>1</v>
      </c>
      <c r="AS33" s="431"/>
      <c r="AT33" s="605"/>
      <c r="AU33" s="543">
        <v>82131.81</v>
      </c>
      <c r="AV33" s="575">
        <v>8067.16</v>
      </c>
      <c r="AW33" s="432">
        <f t="shared" si="18"/>
        <v>0.09822211394099314</v>
      </c>
      <c r="AX33" s="577">
        <v>1</v>
      </c>
      <c r="AY33" s="567">
        <v>2662.13</v>
      </c>
      <c r="AZ33" s="580">
        <f t="shared" si="19"/>
        <v>100</v>
      </c>
      <c r="BA33" s="580">
        <f t="shared" si="20"/>
        <v>32.999593413295386</v>
      </c>
      <c r="BB33" s="581">
        <v>0.5</v>
      </c>
      <c r="BC33" s="581">
        <v>1</v>
      </c>
      <c r="BD33" s="586">
        <v>1629</v>
      </c>
      <c r="BE33" s="584">
        <f t="shared" si="21"/>
        <v>82131.81</v>
      </c>
      <c r="BF33" s="585">
        <f t="shared" si="22"/>
        <v>616.0095916776054</v>
      </c>
      <c r="BG33" s="577">
        <v>1</v>
      </c>
      <c r="BH33" s="581">
        <f>BE33*100/BE63</f>
        <v>10.143124821522047</v>
      </c>
      <c r="BI33" s="431">
        <f t="shared" si="2"/>
        <v>68.85013128585005</v>
      </c>
      <c r="BJ33" s="431">
        <f t="shared" si="3"/>
        <v>2.2316322993490587</v>
      </c>
      <c r="BK33" s="580">
        <v>1832.88</v>
      </c>
      <c r="BL33" s="431">
        <f t="shared" si="23"/>
        <v>1629</v>
      </c>
      <c r="BM33" s="432">
        <f t="shared" si="24"/>
        <v>0.8078000207621467</v>
      </c>
      <c r="BN33" s="577">
        <v>0</v>
      </c>
      <c r="BO33" s="541">
        <v>52085.06</v>
      </c>
      <c r="BP33" s="541">
        <v>49848.37</v>
      </c>
      <c r="BQ33" s="431">
        <f t="shared" si="38"/>
        <v>95.70569756471434</v>
      </c>
      <c r="BR33" s="432">
        <f t="shared" si="39"/>
        <v>0.9570569756471434</v>
      </c>
      <c r="BS33" s="585">
        <v>0</v>
      </c>
      <c r="BT33" s="594">
        <f t="shared" si="25"/>
        <v>82131.81</v>
      </c>
      <c r="BU33" s="597">
        <v>1</v>
      </c>
      <c r="BV33" s="598">
        <v>1</v>
      </c>
      <c r="BW33" s="600">
        <v>0</v>
      </c>
      <c r="BX33" s="622">
        <v>1</v>
      </c>
      <c r="BY33" s="629">
        <v>0</v>
      </c>
      <c r="BZ33" s="628">
        <f t="shared" si="40"/>
        <v>1</v>
      </c>
      <c r="CA33" s="638">
        <v>0</v>
      </c>
      <c r="CB33" s="42">
        <f t="shared" si="26"/>
        <v>1</v>
      </c>
      <c r="CC33" s="561">
        <v>0</v>
      </c>
      <c r="CD33" s="559">
        <f t="shared" si="27"/>
        <v>1</v>
      </c>
      <c r="CE33" s="395">
        <v>0</v>
      </c>
      <c r="CF33" s="395">
        <v>1</v>
      </c>
      <c r="CG33" s="395">
        <v>0</v>
      </c>
      <c r="CH33" s="431">
        <v>1</v>
      </c>
      <c r="CI33" s="395">
        <v>0</v>
      </c>
      <c r="CJ33" s="395">
        <v>1</v>
      </c>
      <c r="CK33" s="431">
        <v>0</v>
      </c>
      <c r="CL33" s="563">
        <v>1</v>
      </c>
      <c r="CM33" s="430">
        <f t="shared" si="28"/>
        <v>0</v>
      </c>
      <c r="CN33" s="496">
        <f t="shared" si="29"/>
        <v>1</v>
      </c>
      <c r="CO33" s="433">
        <v>0</v>
      </c>
      <c r="CP33" s="483">
        <f t="shared" si="4"/>
        <v>1</v>
      </c>
      <c r="CQ33" s="431">
        <v>0</v>
      </c>
      <c r="CR33" s="431">
        <f t="shared" si="5"/>
        <v>1</v>
      </c>
      <c r="CS33" s="395">
        <v>0</v>
      </c>
      <c r="CT33" s="477">
        <f t="shared" si="6"/>
        <v>1</v>
      </c>
      <c r="CU33" s="395">
        <v>0</v>
      </c>
      <c r="CV33" s="481">
        <f t="shared" si="7"/>
        <v>1</v>
      </c>
      <c r="CW33" s="476">
        <v>0</v>
      </c>
      <c r="CX33" s="477">
        <f t="shared" si="44"/>
        <v>1</v>
      </c>
      <c r="CY33" s="629">
        <v>0</v>
      </c>
      <c r="CZ33" s="628">
        <f t="shared" si="41"/>
        <v>1</v>
      </c>
      <c r="DA33" s="646">
        <v>0</v>
      </c>
      <c r="DB33" s="477">
        <f t="shared" si="9"/>
        <v>1</v>
      </c>
      <c r="DC33" s="484"/>
      <c r="DD33" s="477">
        <f t="shared" si="10"/>
        <v>1</v>
      </c>
      <c r="DE33" s="563">
        <v>0</v>
      </c>
      <c r="DF33" s="559">
        <f t="shared" si="30"/>
        <v>1</v>
      </c>
      <c r="DG33" s="561">
        <v>1</v>
      </c>
      <c r="DH33" s="559">
        <f t="shared" si="31"/>
        <v>0.875</v>
      </c>
      <c r="DI33" s="433"/>
      <c r="DJ33" s="477">
        <f t="shared" si="11"/>
        <v>1</v>
      </c>
      <c r="DK33" s="395">
        <v>0</v>
      </c>
      <c r="DL33" s="431">
        <v>1</v>
      </c>
      <c r="DM33" s="561">
        <v>0</v>
      </c>
      <c r="DN33" s="559">
        <v>1</v>
      </c>
      <c r="DO33" s="395"/>
      <c r="DP33" s="508">
        <f t="shared" si="12"/>
        <v>1</v>
      </c>
      <c r="DQ33" s="631">
        <v>10.66350710900474</v>
      </c>
      <c r="DR33" s="628">
        <v>0.4387627837365926</v>
      </c>
      <c r="DS33" s="395">
        <v>1</v>
      </c>
      <c r="DT33" s="485">
        <f t="shared" si="13"/>
        <v>0</v>
      </c>
      <c r="DU33" s="486"/>
      <c r="DV33" s="477">
        <v>1</v>
      </c>
      <c r="DW33" s="486"/>
      <c r="DX33" s="486"/>
      <c r="DY33" s="477">
        <v>1</v>
      </c>
      <c r="DZ33" s="486"/>
      <c r="EA33" s="486"/>
      <c r="EB33" s="477">
        <v>1</v>
      </c>
      <c r="EC33" s="486"/>
      <c r="ED33" s="486"/>
      <c r="EE33" s="477">
        <v>1</v>
      </c>
      <c r="EF33" s="486"/>
      <c r="EG33" s="486"/>
      <c r="EH33" s="477">
        <v>1</v>
      </c>
      <c r="EI33" s="486"/>
      <c r="EJ33" s="486"/>
      <c r="EK33" s="477">
        <v>1</v>
      </c>
      <c r="EL33" s="486"/>
      <c r="EM33" s="486"/>
      <c r="EN33" s="477"/>
      <c r="EO33" s="431"/>
      <c r="EP33" s="431"/>
      <c r="EQ33" s="477"/>
      <c r="ER33" s="431">
        <f t="shared" si="32"/>
        <v>18.41414576743816</v>
      </c>
      <c r="ES33" s="395">
        <v>23</v>
      </c>
      <c r="ET33" s="431" t="s">
        <v>117</v>
      </c>
      <c r="EU33" s="322"/>
      <c r="EV33" s="322">
        <v>21.894669014050322</v>
      </c>
      <c r="EW33" s="322">
        <v>12</v>
      </c>
      <c r="EX33" s="322">
        <v>1.552704073700215</v>
      </c>
      <c r="EY33" s="322" t="s">
        <v>117</v>
      </c>
      <c r="EZ33" s="441">
        <f t="shared" si="14"/>
        <v>11.66350710900474</v>
      </c>
    </row>
    <row r="34" spans="1:156" s="54" customFormat="1" ht="18" customHeight="1" thickBot="1">
      <c r="A34" s="459"/>
      <c r="B34" s="460" t="s">
        <v>105</v>
      </c>
      <c r="C34" s="623">
        <v>0</v>
      </c>
      <c r="D34" s="624">
        <v>0.9960200009492186</v>
      </c>
      <c r="E34" s="461">
        <f>SUM(E1:E27)</f>
        <v>0</v>
      </c>
      <c r="F34" s="461">
        <f>SUM(F10:F33)/24</f>
        <v>1</v>
      </c>
      <c r="G34" s="443">
        <f>SUM(G10:G33)</f>
        <v>125768.09691</v>
      </c>
      <c r="H34" s="443">
        <f>SUM(H10:H33)</f>
        <v>158187.9621</v>
      </c>
      <c r="I34" s="462">
        <f>(G34-H34)/G34*100%</f>
        <v>-0.25777495236490505</v>
      </c>
      <c r="J34" s="461">
        <f>SUM(J10:J33)/24</f>
        <v>0.15769616078966062</v>
      </c>
      <c r="K34" s="463">
        <f>SUM(K10:K33)</f>
        <v>202349.59775000002</v>
      </c>
      <c r="L34" s="463">
        <f>SUM(L10:L33)</f>
        <v>440303.2176</v>
      </c>
      <c r="M34" s="466">
        <f t="shared" si="0"/>
        <v>0.45956874640381923</v>
      </c>
      <c r="N34" s="465">
        <f>SUM(N10:N33)/24</f>
        <v>0.6916666666666668</v>
      </c>
      <c r="O34" s="463">
        <f>SUM(O10:O33)</f>
        <v>202349.59775000002</v>
      </c>
      <c r="P34" s="463">
        <f>SUM(P10:P33)</f>
        <v>289482.00197999994</v>
      </c>
      <c r="Q34" s="464">
        <f>O34/P34*100%</f>
        <v>0.6990057978249721</v>
      </c>
      <c r="R34" s="465">
        <f>SUM(R10:R33)/24</f>
        <v>0.8910335601262661</v>
      </c>
      <c r="S34" s="463">
        <f>SUM(S10:S33)</f>
        <v>167779.87512</v>
      </c>
      <c r="T34" s="463">
        <f>SUM(T10:T33)</f>
        <v>0</v>
      </c>
      <c r="U34" s="463">
        <f>SUM(U10:U33)</f>
        <v>118533.95087999999</v>
      </c>
      <c r="V34" s="464">
        <f>S34/U34*100%</f>
        <v>1.4154583887097043</v>
      </c>
      <c r="W34" s="465">
        <f>SUM(W10:W33)/24</f>
        <v>0.875</v>
      </c>
      <c r="X34" s="463">
        <f>SUM(X10:X33)</f>
        <v>157353.82665</v>
      </c>
      <c r="Y34" s="463">
        <f>SUM(Y10:Y33)</f>
        <v>145247.22472</v>
      </c>
      <c r="Z34" s="464">
        <f t="shared" si="34"/>
        <v>0.9230612805055669</v>
      </c>
      <c r="AA34" s="501">
        <f>SUM(AA10:AA33)/24</f>
        <v>0.17538069136949205</v>
      </c>
      <c r="AB34" s="463">
        <f>SUM(AB10:AB33)</f>
        <v>145247.22472</v>
      </c>
      <c r="AC34" s="463">
        <f>SUM(AC10:AC33)</f>
        <v>157827.54320000001</v>
      </c>
      <c r="AD34" s="466">
        <f t="shared" si="35"/>
        <v>0.9202907285703728</v>
      </c>
      <c r="AE34" s="502">
        <f>SUM(AE10:AE33)/24</f>
        <v>0.5830252545098654</v>
      </c>
      <c r="AF34" s="604">
        <f>SUM(AF10:AF33)</f>
        <v>234700.31565</v>
      </c>
      <c r="AG34" s="604">
        <f>SUM(AG10:AG33)</f>
        <v>440303.2176</v>
      </c>
      <c r="AH34" s="604">
        <f>SUM(AH10:AH33)</f>
        <v>6582.780799999999</v>
      </c>
      <c r="AI34" s="462">
        <f t="shared" si="36"/>
        <v>0.5411327106963755</v>
      </c>
      <c r="AJ34" s="465">
        <f>SUM(AJ10:AJ33)/24</f>
        <v>0.6833333333333335</v>
      </c>
      <c r="AK34" s="467">
        <f>SUM(AK10:AK33)</f>
        <v>-49895.99903999999</v>
      </c>
      <c r="AL34" s="467">
        <f>SUM(AL10:AL33)</f>
        <v>-54781.187770000004</v>
      </c>
      <c r="AM34" s="468">
        <v>-34004.6</v>
      </c>
      <c r="AN34" s="465">
        <f>SUM(AN10:AN33)/24</f>
        <v>0.6666666666666666</v>
      </c>
      <c r="AO34" s="606">
        <f>SUM(AO10:AO33)</f>
        <v>89726.76000000002</v>
      </c>
      <c r="AP34" s="606">
        <f>SUM(AP10:AP33)</f>
        <v>104471.00000000001</v>
      </c>
      <c r="AQ34" s="607">
        <f t="shared" si="37"/>
        <v>0.8588676283370505</v>
      </c>
      <c r="AR34" s="608">
        <v>1</v>
      </c>
      <c r="AS34" s="609" t="e">
        <f>AU34*100/AU60</f>
        <v>#DIV/0!</v>
      </c>
      <c r="AT34" s="610">
        <f>SUM(AT10:AT33)</f>
        <v>0</v>
      </c>
      <c r="AU34" s="611">
        <f>SUM(AU10:AU33)</f>
        <v>809728.8700000001</v>
      </c>
      <c r="AV34" s="612">
        <f>SUM(AV10:AV33)</f>
        <v>175964.06</v>
      </c>
      <c r="AW34" s="432">
        <f t="shared" si="18"/>
        <v>0.21731232085129923</v>
      </c>
      <c r="AX34" s="613">
        <v>1</v>
      </c>
      <c r="AY34" s="606">
        <f>SUM(AY10:AY33)</f>
        <v>86019.28000000001</v>
      </c>
      <c r="AZ34" s="614">
        <f t="shared" si="19"/>
        <v>95.86803312634937</v>
      </c>
      <c r="BA34" s="614">
        <f t="shared" si="20"/>
        <v>48.88457336117388</v>
      </c>
      <c r="BB34" s="608">
        <f>SUM(BB10:BB33)/24</f>
        <v>0.5208333333333334</v>
      </c>
      <c r="BC34" s="608">
        <v>1</v>
      </c>
      <c r="BD34" s="615">
        <f>SUM(BD10:BD33)</f>
        <v>98932</v>
      </c>
      <c r="BE34" s="616">
        <f>AU34</f>
        <v>809728.8700000001</v>
      </c>
      <c r="BF34" s="585">
        <f t="shared" si="22"/>
        <v>100</v>
      </c>
      <c r="BG34" s="608">
        <v>1</v>
      </c>
      <c r="BH34" s="617">
        <f>BE34*100/BE40</f>
        <v>100</v>
      </c>
      <c r="BI34" s="608">
        <f t="shared" si="2"/>
        <v>153.57619064814108</v>
      </c>
      <c r="BJ34" s="608">
        <f t="shared" si="3"/>
        <v>17.017911192915726</v>
      </c>
      <c r="BK34" s="614">
        <f>SUM(BK10:BK33)</f>
        <v>137798.94000000003</v>
      </c>
      <c r="BL34" s="431">
        <f>BD34</f>
        <v>98932</v>
      </c>
      <c r="BM34" s="432">
        <f t="shared" si="24"/>
        <v>1</v>
      </c>
      <c r="BN34" s="613"/>
      <c r="BO34" s="618">
        <f>SUM(BO10:BO33)</f>
        <v>427225.10000000003</v>
      </c>
      <c r="BP34" s="618">
        <f>SUM(BP10:BP33)</f>
        <v>198559.89000000004</v>
      </c>
      <c r="BQ34" s="607">
        <f>BP34/(BO34+BP34)</f>
        <v>0.3172973036633557</v>
      </c>
      <c r="BR34" s="607">
        <v>1</v>
      </c>
      <c r="BS34" s="608">
        <f>SUM(BS10:BS33)/24</f>
        <v>0</v>
      </c>
      <c r="BT34" s="619">
        <f>SUM(BT10:BT33)</f>
        <v>809728.8700000001</v>
      </c>
      <c r="BU34" s="607">
        <f>BT34*100%/AU34</f>
        <v>1</v>
      </c>
      <c r="BV34" s="614">
        <v>1</v>
      </c>
      <c r="BW34" s="623">
        <v>7.7</v>
      </c>
      <c r="BX34" s="624">
        <f>1-(BW34/100)</f>
        <v>0.923</v>
      </c>
      <c r="BY34" s="623">
        <f>SUM(BY10:BY33)</f>
        <v>0</v>
      </c>
      <c r="BZ34" s="624">
        <f>SUM(BZ10:BZ33)/24</f>
        <v>1</v>
      </c>
      <c r="CA34" s="465">
        <f>SUM(CA10:CA33)</f>
        <v>0</v>
      </c>
      <c r="CB34" s="465">
        <f>SUM(CB10:CB33)/24</f>
        <v>0.9166666666666666</v>
      </c>
      <c r="CC34" s="465">
        <f>SUM(CC10:CC33)</f>
        <v>0</v>
      </c>
      <c r="CD34" s="465">
        <f>SUM(CD10:CD33)/24</f>
        <v>1</v>
      </c>
      <c r="CE34" s="608">
        <f>SUM(CE10:CE33)</f>
        <v>0</v>
      </c>
      <c r="CF34" s="608">
        <f>SUM(CF10:CF33)/24</f>
        <v>1</v>
      </c>
      <c r="CG34" s="608">
        <f>SUM(CG10:CG33)</f>
        <v>0</v>
      </c>
      <c r="CH34" s="608">
        <f>SUM(CH10:CH33)/24</f>
        <v>1.4166666666666667</v>
      </c>
      <c r="CI34" s="608">
        <f>SUM(CI10:CI33)</f>
        <v>0</v>
      </c>
      <c r="CJ34" s="608">
        <f>SUM(CJ10:CJ33)/24</f>
        <v>1</v>
      </c>
      <c r="CK34" s="608">
        <f>SUM(CK10:CK33)</f>
        <v>0</v>
      </c>
      <c r="CL34" s="608">
        <f>SUM(CL10:CL33)/24</f>
        <v>1</v>
      </c>
      <c r="CM34" s="461">
        <f>SUM(CM10:CM33)</f>
        <v>0</v>
      </c>
      <c r="CN34" s="461">
        <f>SUM(CN10:CN33)/24</f>
        <v>1</v>
      </c>
      <c r="CO34" s="461">
        <f>SUM(CO1:CO23)</f>
        <v>0</v>
      </c>
      <c r="CP34" s="461">
        <f>SUM(CP9:CP33)/24</f>
        <v>1</v>
      </c>
      <c r="CQ34" s="461">
        <f>SUM(CQ10:CQ33)</f>
        <v>0</v>
      </c>
      <c r="CR34" s="461">
        <f>SUM(CR10:CR33)/24</f>
        <v>1</v>
      </c>
      <c r="CS34" s="461">
        <f>SUM(CS10:CS33)</f>
        <v>0</v>
      </c>
      <c r="CT34" s="461">
        <f>SUM(CT10:CT33)/24</f>
        <v>1</v>
      </c>
      <c r="CU34" s="461">
        <f>SUM(CU10:CU33)</f>
        <v>0</v>
      </c>
      <c r="CV34" s="461">
        <f>SUM(CV10:CV33)/24</f>
        <v>1</v>
      </c>
      <c r="CW34" s="461">
        <f>SUM(CW10:CW33)</f>
        <v>0</v>
      </c>
      <c r="CX34" s="461">
        <f>SUM(CX10:CX33)/24</f>
        <v>1</v>
      </c>
      <c r="CY34" s="623">
        <f>SUM(CY10:CY33)</f>
        <v>4</v>
      </c>
      <c r="CZ34" s="624">
        <f>SUM(CZ10:CZ33)/24</f>
        <v>0.9166666666666666</v>
      </c>
      <c r="DA34" s="469">
        <f>SUM(DA10:DA33)</f>
        <v>0</v>
      </c>
      <c r="DB34" s="469">
        <f>SUM(DB10:DB33)/24</f>
        <v>1</v>
      </c>
      <c r="DC34" s="461">
        <f>SUM(DC10:DC33)</f>
        <v>0</v>
      </c>
      <c r="DD34" s="461">
        <f>SUM(DD10:DD33)/24</f>
        <v>1</v>
      </c>
      <c r="DE34" s="461">
        <f>SUM(DE10:DE33)</f>
        <v>9</v>
      </c>
      <c r="DF34" s="461">
        <f>SUM(DF10:DF33)/24</f>
        <v>0.8125</v>
      </c>
      <c r="DG34" s="461">
        <f>SUM(DG10:DG33)</f>
        <v>59</v>
      </c>
      <c r="DH34" s="461">
        <f>SUM(DH10:DH33)/24</f>
        <v>0.6927083333333334</v>
      </c>
      <c r="DI34" s="461">
        <f>SUM(DI10:DI33)</f>
        <v>0</v>
      </c>
      <c r="DJ34" s="461">
        <f>SUM(DJ10:DJ33)/24</f>
        <v>1</v>
      </c>
      <c r="DK34" s="461">
        <f>SUM(DK10:DK33)</f>
        <v>0</v>
      </c>
      <c r="DL34" s="461">
        <f>SUM(DL10:DL33)/24</f>
        <v>1</v>
      </c>
      <c r="DM34" s="461">
        <f>SUM(DM10:DM33)</f>
        <v>0</v>
      </c>
      <c r="DN34" s="461">
        <f>SUM(DN10:DN33)/24</f>
        <v>1</v>
      </c>
      <c r="DO34" s="461">
        <f>SUM(DO10:DO33)</f>
        <v>0</v>
      </c>
      <c r="DP34" s="461">
        <f>SUM(DP10:DP33)/24</f>
        <v>1</v>
      </c>
      <c r="DQ34" s="632">
        <v>94.12309330185163</v>
      </c>
      <c r="DR34" s="633">
        <v>0.7935897076713782</v>
      </c>
      <c r="DS34" s="470">
        <f>SUM(DS10:DS33)</f>
        <v>2</v>
      </c>
      <c r="DT34" s="471">
        <f>(SUM(DT10:DT33))/24</f>
        <v>0.9166666666666666</v>
      </c>
      <c r="DU34" s="461">
        <f>SUM(DU10:DU33)</f>
        <v>0</v>
      </c>
      <c r="DV34" s="461">
        <f>SUM(DV10:DV33)/24</f>
        <v>1</v>
      </c>
      <c r="DW34" s="461" t="e">
        <f>SUM(#REF!)</f>
        <v>#REF!</v>
      </c>
      <c r="DX34" s="461">
        <f>SUM(DX10:DX33)</f>
        <v>0</v>
      </c>
      <c r="DY34" s="461">
        <f>SUM(DY10:DY33)/24</f>
        <v>0.875</v>
      </c>
      <c r="DZ34" s="461">
        <v>0</v>
      </c>
      <c r="EA34" s="461">
        <f>SUM(EA10:EA33)</f>
        <v>0</v>
      </c>
      <c r="EB34" s="461">
        <f>SUM(EB10:EB33)/24</f>
        <v>0.9166666666666666</v>
      </c>
      <c r="EC34" s="461" t="e">
        <f>SUM(#REF!)</f>
        <v>#REF!</v>
      </c>
      <c r="ED34" s="461">
        <f>SUM(ED10:ED33)</f>
        <v>0</v>
      </c>
      <c r="EE34" s="461">
        <f>SUM(EE10:EE33)/24</f>
        <v>1</v>
      </c>
      <c r="EF34" s="461">
        <v>0</v>
      </c>
      <c r="EG34" s="461">
        <f>SUM(EG10:EG33)</f>
        <v>0</v>
      </c>
      <c r="EH34" s="461">
        <f>SUM(EH10:EH33)/24</f>
        <v>0.9583333333333334</v>
      </c>
      <c r="EI34" s="461">
        <v>0</v>
      </c>
      <c r="EJ34" s="461">
        <f>SUM(EJ10:EJ33)</f>
        <v>0</v>
      </c>
      <c r="EK34" s="461">
        <f>SUM(EK10:EK33)/24</f>
        <v>0.9166666666666666</v>
      </c>
      <c r="EL34" s="461">
        <v>0</v>
      </c>
      <c r="EM34" s="461">
        <f>SUM(EM10:EM33)</f>
        <v>0</v>
      </c>
      <c r="EN34" s="461">
        <f>SUM(EN10:EN33)/24</f>
        <v>0</v>
      </c>
      <c r="EO34" s="461"/>
      <c r="EP34" s="461"/>
      <c r="EQ34" s="461"/>
      <c r="ER34" s="461">
        <f>SUM(ER10:ER33)/24</f>
        <v>20.357372068729774</v>
      </c>
      <c r="ES34" s="472" t="s">
        <v>142</v>
      </c>
      <c r="ET34" s="473" t="s">
        <v>142</v>
      </c>
      <c r="EV34" s="54">
        <v>21.81090431085457</v>
      </c>
      <c r="EW34" s="54" t="s">
        <v>142</v>
      </c>
      <c r="EX34" s="54">
        <v>1.552704073700215</v>
      </c>
      <c r="EY34" s="54" t="s">
        <v>142</v>
      </c>
      <c r="EZ34" s="440">
        <f t="shared" si="14"/>
        <v>96.12309330185163</v>
      </c>
    </row>
    <row r="35" spans="7:156" ht="22.5" customHeight="1" thickTop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/>
      <c r="L35" s="139"/>
      <c r="M35" s="139"/>
      <c r="N35" s="139"/>
      <c r="O35" s="139"/>
      <c r="P35" s="139"/>
      <c r="Q35" s="139"/>
      <c r="R35" s="139"/>
      <c r="S35" s="139" t="s">
        <v>185</v>
      </c>
      <c r="T35" s="139"/>
      <c r="U35" s="139"/>
      <c r="V35" s="139"/>
      <c r="W35" s="139"/>
      <c r="X35" s="139" t="s">
        <v>191</v>
      </c>
      <c r="Y35" s="139" t="s">
        <v>187</v>
      </c>
      <c r="Z35" s="139"/>
      <c r="AA35" s="139"/>
      <c r="AB35" s="139" t="s">
        <v>187</v>
      </c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U35" s="140">
        <f>AU34</f>
        <v>809728.8700000001</v>
      </c>
      <c r="AV35" s="3">
        <f>AV33*100/AU33</f>
        <v>9.822211394099314</v>
      </c>
      <c r="AW35" s="3">
        <f>AV35*100%/AU35</f>
        <v>1.2130247244487297E-05</v>
      </c>
      <c r="BE35" s="140">
        <f aca="true" t="shared" si="45" ref="BE35:BE66">BE34</f>
        <v>809728.8700000001</v>
      </c>
      <c r="BL35" s="140">
        <f aca="true" t="shared" si="46" ref="BL35:BL66">BL34</f>
        <v>98932</v>
      </c>
      <c r="BM35" s="3">
        <f>BK34*100/AU34</f>
        <v>17.017911192915726</v>
      </c>
      <c r="BY35" s="141"/>
      <c r="BZ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Y35" s="141"/>
      <c r="CZ35" s="141"/>
      <c r="DA35" s="141"/>
      <c r="DB35" s="141"/>
      <c r="DC35" s="141"/>
      <c r="DT35" s="3" t="s">
        <v>143</v>
      </c>
      <c r="EN35" s="3" t="s">
        <v>144</v>
      </c>
      <c r="ER35" s="140" t="e">
        <f>ER34+#REF!+0.1</f>
        <v>#REF!</v>
      </c>
      <c r="ES35" s="3" t="s">
        <v>145</v>
      </c>
      <c r="EZ35" s="3">
        <f>EZ34/24</f>
        <v>4.005128887577151</v>
      </c>
    </row>
    <row r="36" spans="7:149" ht="15.75">
      <c r="G36" s="142">
        <f>G35-G34</f>
        <v>-9010.86990999998</v>
      </c>
      <c r="H36" s="142">
        <f>H35-H34</f>
        <v>-370.8668300000427</v>
      </c>
      <c r="I36" s="142">
        <f>I35-I34</f>
        <v>-0.09389379932615682</v>
      </c>
      <c r="J36" s="142">
        <f>J35-J34</f>
        <v>0.11067523687681682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U36" s="140"/>
      <c r="BD36" s="3">
        <v>3819</v>
      </c>
      <c r="BE36" s="140">
        <f t="shared" si="45"/>
        <v>809728.8700000001</v>
      </c>
      <c r="BL36" s="140">
        <f t="shared" si="46"/>
        <v>98932</v>
      </c>
      <c r="BY36" s="141"/>
      <c r="BZ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Y36" s="141"/>
      <c r="CZ36" s="141"/>
      <c r="DA36" s="141"/>
      <c r="DB36" s="141"/>
      <c r="DC36" s="141"/>
      <c r="DT36" s="3" t="s">
        <v>143</v>
      </c>
      <c r="EN36" s="3" t="s">
        <v>146</v>
      </c>
      <c r="ER36" s="140" t="e">
        <f>ER34-#REF!+0.1</f>
        <v>#REF!</v>
      </c>
      <c r="ES36" s="3" t="s">
        <v>147</v>
      </c>
    </row>
    <row r="37" spans="47:149" ht="15.75">
      <c r="AU37" s="140"/>
      <c r="BD37" s="142">
        <f>BE34-BD36</f>
        <v>805909.8700000001</v>
      </c>
      <c r="BE37" s="140">
        <f t="shared" si="45"/>
        <v>809728.8700000001</v>
      </c>
      <c r="BL37" s="140">
        <f t="shared" si="46"/>
        <v>98932</v>
      </c>
      <c r="DQ37" s="3">
        <f>DQ34*100/EZ34</f>
        <v>97.91933454147228</v>
      </c>
      <c r="EN37" s="3" t="s">
        <v>148</v>
      </c>
      <c r="ES37" s="3" t="s">
        <v>149</v>
      </c>
    </row>
    <row r="38" spans="47:64" ht="15.75">
      <c r="AU38" s="140"/>
      <c r="BD38" s="3">
        <f>BE34*100/BD36</f>
        <v>21202.641267347477</v>
      </c>
      <c r="BE38" s="140">
        <f t="shared" si="45"/>
        <v>809728.8700000001</v>
      </c>
      <c r="BL38" s="140">
        <f t="shared" si="46"/>
        <v>98932</v>
      </c>
    </row>
    <row r="39" spans="47:64" ht="15.75">
      <c r="AU39" s="140"/>
      <c r="BE39" s="140">
        <f t="shared" si="45"/>
        <v>809728.8700000001</v>
      </c>
      <c r="BL39" s="140">
        <f t="shared" si="46"/>
        <v>98932</v>
      </c>
    </row>
    <row r="40" spans="47:64" ht="15.75">
      <c r="AU40" s="140"/>
      <c r="BE40" s="140">
        <f t="shared" si="45"/>
        <v>809728.8700000001</v>
      </c>
      <c r="BL40" s="140">
        <f t="shared" si="46"/>
        <v>98932</v>
      </c>
    </row>
    <row r="41" spans="47:64" ht="15.75">
      <c r="AU41" s="140"/>
      <c r="BE41" s="140">
        <f t="shared" si="45"/>
        <v>809728.8700000001</v>
      </c>
      <c r="BL41" s="140">
        <f t="shared" si="46"/>
        <v>98932</v>
      </c>
    </row>
    <row r="42" spans="47:64" ht="15.75">
      <c r="AU42" s="140"/>
      <c r="BE42" s="140">
        <f t="shared" si="45"/>
        <v>809728.8700000001</v>
      </c>
      <c r="BL42" s="140">
        <f t="shared" si="46"/>
        <v>98932</v>
      </c>
    </row>
    <row r="43" spans="47:64" ht="15.75">
      <c r="AU43" s="140"/>
      <c r="BE43" s="140">
        <f t="shared" si="45"/>
        <v>809728.8700000001</v>
      </c>
      <c r="BL43" s="140">
        <f t="shared" si="46"/>
        <v>98932</v>
      </c>
    </row>
    <row r="44" spans="47:64" ht="15.75">
      <c r="AU44" s="140"/>
      <c r="BE44" s="140">
        <f t="shared" si="45"/>
        <v>809728.8700000001</v>
      </c>
      <c r="BL44" s="140">
        <f t="shared" si="46"/>
        <v>98932</v>
      </c>
    </row>
    <row r="45" spans="47:64" ht="15.75">
      <c r="AU45" s="140"/>
      <c r="BE45" s="140">
        <f t="shared" si="45"/>
        <v>809728.8700000001</v>
      </c>
      <c r="BL45" s="140">
        <f t="shared" si="46"/>
        <v>98932</v>
      </c>
    </row>
    <row r="46" spans="47:64" ht="15.75">
      <c r="AU46" s="140"/>
      <c r="BE46" s="140">
        <f t="shared" si="45"/>
        <v>809728.8700000001</v>
      </c>
      <c r="BL46" s="140">
        <f t="shared" si="46"/>
        <v>98932</v>
      </c>
    </row>
    <row r="47" spans="47:64" ht="15.75">
      <c r="AU47" s="140"/>
      <c r="BE47" s="140">
        <f t="shared" si="45"/>
        <v>809728.8700000001</v>
      </c>
      <c r="BL47" s="140">
        <f t="shared" si="46"/>
        <v>98932</v>
      </c>
    </row>
    <row r="48" spans="47:64" ht="15.75">
      <c r="AU48" s="140"/>
      <c r="BE48" s="140">
        <f t="shared" si="45"/>
        <v>809728.8700000001</v>
      </c>
      <c r="BL48" s="140">
        <f t="shared" si="46"/>
        <v>98932</v>
      </c>
    </row>
    <row r="49" spans="47:64" ht="15.75">
      <c r="AU49" s="140"/>
      <c r="BE49" s="140">
        <f t="shared" si="45"/>
        <v>809728.8700000001</v>
      </c>
      <c r="BL49" s="140">
        <f t="shared" si="46"/>
        <v>98932</v>
      </c>
    </row>
    <row r="50" spans="47:64" ht="15.75">
      <c r="AU50" s="140"/>
      <c r="BE50" s="140">
        <f t="shared" si="45"/>
        <v>809728.8700000001</v>
      </c>
      <c r="BL50" s="140">
        <f t="shared" si="46"/>
        <v>98932</v>
      </c>
    </row>
    <row r="51" spans="47:64" ht="15.75">
      <c r="AU51" s="140"/>
      <c r="BE51" s="140">
        <f t="shared" si="45"/>
        <v>809728.8700000001</v>
      </c>
      <c r="BL51" s="140">
        <f t="shared" si="46"/>
        <v>98932</v>
      </c>
    </row>
    <row r="52" spans="47:64" ht="15.75">
      <c r="AU52" s="140"/>
      <c r="BE52" s="140">
        <f t="shared" si="45"/>
        <v>809728.8700000001</v>
      </c>
      <c r="BL52" s="140">
        <f t="shared" si="46"/>
        <v>98932</v>
      </c>
    </row>
    <row r="53" spans="47:64" ht="15.75">
      <c r="AU53" s="140"/>
      <c r="BE53" s="140">
        <f t="shared" si="45"/>
        <v>809728.8700000001</v>
      </c>
      <c r="BL53" s="140">
        <f t="shared" si="46"/>
        <v>98932</v>
      </c>
    </row>
    <row r="54" spans="47:64" ht="15.75">
      <c r="AU54" s="140"/>
      <c r="BE54" s="140">
        <f t="shared" si="45"/>
        <v>809728.8700000001</v>
      </c>
      <c r="BL54" s="140">
        <f t="shared" si="46"/>
        <v>98932</v>
      </c>
    </row>
    <row r="55" spans="47:64" ht="15.75">
      <c r="AU55" s="140"/>
      <c r="BE55" s="140">
        <f t="shared" si="45"/>
        <v>809728.8700000001</v>
      </c>
      <c r="BL55" s="140">
        <f t="shared" si="46"/>
        <v>98932</v>
      </c>
    </row>
    <row r="56" spans="47:64" ht="15.75">
      <c r="AU56" s="140"/>
      <c r="BE56" s="140">
        <f t="shared" si="45"/>
        <v>809728.8700000001</v>
      </c>
      <c r="BL56" s="140">
        <f t="shared" si="46"/>
        <v>98932</v>
      </c>
    </row>
    <row r="57" spans="47:64" ht="15.75">
      <c r="AU57" s="140"/>
      <c r="BE57" s="140">
        <f t="shared" si="45"/>
        <v>809728.8700000001</v>
      </c>
      <c r="BL57" s="140">
        <f t="shared" si="46"/>
        <v>98932</v>
      </c>
    </row>
    <row r="58" spans="47:64" ht="15.75">
      <c r="AU58" s="140"/>
      <c r="BE58" s="140">
        <f t="shared" si="45"/>
        <v>809728.8700000001</v>
      </c>
      <c r="BL58" s="140">
        <f t="shared" si="46"/>
        <v>98932</v>
      </c>
    </row>
    <row r="59" spans="47:64" ht="15.75">
      <c r="AU59" s="140"/>
      <c r="BE59" s="140">
        <f t="shared" si="45"/>
        <v>809728.8700000001</v>
      </c>
      <c r="BL59" s="140">
        <f t="shared" si="46"/>
        <v>98932</v>
      </c>
    </row>
    <row r="60" spans="47:64" ht="15.75">
      <c r="AU60" s="140"/>
      <c r="BE60" s="140">
        <f t="shared" si="45"/>
        <v>809728.8700000001</v>
      </c>
      <c r="BL60" s="140">
        <f t="shared" si="46"/>
        <v>98932</v>
      </c>
    </row>
    <row r="61" spans="47:64" ht="15.75">
      <c r="AU61" s="140"/>
      <c r="BE61" s="140">
        <f t="shared" si="45"/>
        <v>809728.8700000001</v>
      </c>
      <c r="BL61" s="140">
        <f t="shared" si="46"/>
        <v>98932</v>
      </c>
    </row>
    <row r="62" spans="47:64" ht="15.75">
      <c r="AU62" s="140"/>
      <c r="BE62" s="140">
        <f t="shared" si="45"/>
        <v>809728.8700000001</v>
      </c>
      <c r="BL62" s="140">
        <f t="shared" si="46"/>
        <v>98932</v>
      </c>
    </row>
    <row r="63" spans="47:64" ht="15.75">
      <c r="AU63" s="140"/>
      <c r="BE63" s="140">
        <f t="shared" si="45"/>
        <v>809728.8700000001</v>
      </c>
      <c r="BL63" s="140">
        <f t="shared" si="46"/>
        <v>98932</v>
      </c>
    </row>
    <row r="64" spans="47:64" ht="15.75">
      <c r="AU64" s="140"/>
      <c r="BE64" s="140">
        <f t="shared" si="45"/>
        <v>809728.8700000001</v>
      </c>
      <c r="BL64" s="140">
        <f t="shared" si="46"/>
        <v>98932</v>
      </c>
    </row>
    <row r="65" spans="47:64" ht="15.75">
      <c r="AU65" s="140"/>
      <c r="BE65" s="140">
        <f t="shared" si="45"/>
        <v>809728.8700000001</v>
      </c>
      <c r="BL65" s="140">
        <f t="shared" si="46"/>
        <v>98932</v>
      </c>
    </row>
    <row r="66" spans="47:64" ht="15.75">
      <c r="AU66" s="140"/>
      <c r="BE66" s="140">
        <f t="shared" si="45"/>
        <v>809728.8700000001</v>
      </c>
      <c r="BL66" s="140">
        <f t="shared" si="46"/>
        <v>98932</v>
      </c>
    </row>
    <row r="67" spans="47:64" ht="15.75">
      <c r="AU67" s="140"/>
      <c r="BE67" s="140">
        <f aca="true" t="shared" si="47" ref="BE67:BE98">BE66</f>
        <v>809728.8700000001</v>
      </c>
      <c r="BL67" s="140">
        <f aca="true" t="shared" si="48" ref="BL67:BL99">BL66</f>
        <v>98932</v>
      </c>
    </row>
    <row r="68" spans="47:64" ht="15.75">
      <c r="AU68" s="140"/>
      <c r="BE68" s="140">
        <f t="shared" si="47"/>
        <v>809728.8700000001</v>
      </c>
      <c r="BL68" s="140">
        <f t="shared" si="48"/>
        <v>98932</v>
      </c>
    </row>
    <row r="69" spans="47:64" ht="15.75">
      <c r="AU69" s="140"/>
      <c r="BE69" s="140">
        <f t="shared" si="47"/>
        <v>809728.8700000001</v>
      </c>
      <c r="BL69" s="140">
        <f t="shared" si="48"/>
        <v>98932</v>
      </c>
    </row>
    <row r="70" spans="47:64" ht="15.75">
      <c r="AU70" s="140"/>
      <c r="BE70" s="140">
        <f t="shared" si="47"/>
        <v>809728.8700000001</v>
      </c>
      <c r="BL70" s="140">
        <f t="shared" si="48"/>
        <v>98932</v>
      </c>
    </row>
    <row r="71" spans="47:64" ht="15.75">
      <c r="AU71" s="140"/>
      <c r="BE71" s="140">
        <f t="shared" si="47"/>
        <v>809728.8700000001</v>
      </c>
      <c r="BL71" s="140">
        <f t="shared" si="48"/>
        <v>98932</v>
      </c>
    </row>
    <row r="72" spans="47:64" ht="15.75">
      <c r="AU72" s="140"/>
      <c r="BE72" s="140">
        <f t="shared" si="47"/>
        <v>809728.8700000001</v>
      </c>
      <c r="BL72" s="140">
        <f t="shared" si="48"/>
        <v>98932</v>
      </c>
    </row>
    <row r="73" spans="47:64" ht="15.75">
      <c r="AU73" s="140"/>
      <c r="BE73" s="140">
        <f t="shared" si="47"/>
        <v>809728.8700000001</v>
      </c>
      <c r="BL73" s="140">
        <f t="shared" si="48"/>
        <v>98932</v>
      </c>
    </row>
    <row r="74" spans="47:64" ht="15.75">
      <c r="AU74" s="140"/>
      <c r="BE74" s="140">
        <f t="shared" si="47"/>
        <v>809728.8700000001</v>
      </c>
      <c r="BL74" s="140">
        <f t="shared" si="48"/>
        <v>98932</v>
      </c>
    </row>
    <row r="75" spans="47:64" ht="15.75">
      <c r="AU75" s="140"/>
      <c r="BE75" s="140">
        <f t="shared" si="47"/>
        <v>809728.8700000001</v>
      </c>
      <c r="BL75" s="140">
        <f t="shared" si="48"/>
        <v>98932</v>
      </c>
    </row>
    <row r="76" spans="47:64" ht="15.75">
      <c r="AU76" s="140"/>
      <c r="BE76" s="140">
        <f t="shared" si="47"/>
        <v>809728.8700000001</v>
      </c>
      <c r="BL76" s="140">
        <f t="shared" si="48"/>
        <v>98932</v>
      </c>
    </row>
    <row r="77" spans="47:64" ht="15.75">
      <c r="AU77" s="140"/>
      <c r="BE77" s="140">
        <f t="shared" si="47"/>
        <v>809728.8700000001</v>
      </c>
      <c r="BL77" s="140">
        <f t="shared" si="48"/>
        <v>98932</v>
      </c>
    </row>
    <row r="78" spans="47:64" ht="15.75">
      <c r="AU78" s="140"/>
      <c r="BE78" s="140">
        <f t="shared" si="47"/>
        <v>809728.8700000001</v>
      </c>
      <c r="BL78" s="140">
        <f t="shared" si="48"/>
        <v>98932</v>
      </c>
    </row>
    <row r="79" spans="47:64" ht="15.75">
      <c r="AU79" s="140"/>
      <c r="BE79" s="140">
        <f t="shared" si="47"/>
        <v>809728.8700000001</v>
      </c>
      <c r="BL79" s="140">
        <f t="shared" si="48"/>
        <v>98932</v>
      </c>
    </row>
    <row r="80" spans="57:64" ht="15.75">
      <c r="BE80" s="140">
        <f t="shared" si="47"/>
        <v>809728.8700000001</v>
      </c>
      <c r="BL80" s="140">
        <f t="shared" si="48"/>
        <v>98932</v>
      </c>
    </row>
    <row r="81" spans="57:64" ht="15.75">
      <c r="BE81" s="140">
        <f t="shared" si="47"/>
        <v>809728.8700000001</v>
      </c>
      <c r="BL81" s="140">
        <f t="shared" si="48"/>
        <v>98932</v>
      </c>
    </row>
    <row r="82" spans="57:64" ht="15.75">
      <c r="BE82" s="140">
        <f t="shared" si="47"/>
        <v>809728.8700000001</v>
      </c>
      <c r="BL82" s="140">
        <f t="shared" si="48"/>
        <v>98932</v>
      </c>
    </row>
    <row r="83" spans="57:64" ht="15.75">
      <c r="BE83" s="140">
        <f t="shared" si="47"/>
        <v>809728.8700000001</v>
      </c>
      <c r="BL83" s="140">
        <f t="shared" si="48"/>
        <v>98932</v>
      </c>
    </row>
    <row r="84" spans="57:64" ht="15.75">
      <c r="BE84" s="140">
        <f t="shared" si="47"/>
        <v>809728.8700000001</v>
      </c>
      <c r="BL84" s="140">
        <f t="shared" si="48"/>
        <v>98932</v>
      </c>
    </row>
    <row r="85" spans="57:64" ht="15.75">
      <c r="BE85" s="140">
        <f t="shared" si="47"/>
        <v>809728.8700000001</v>
      </c>
      <c r="BL85" s="140">
        <f t="shared" si="48"/>
        <v>98932</v>
      </c>
    </row>
    <row r="86" spans="57:64" ht="15.75">
      <c r="BE86" s="140">
        <f t="shared" si="47"/>
        <v>809728.8700000001</v>
      </c>
      <c r="BL86" s="140">
        <f t="shared" si="48"/>
        <v>98932</v>
      </c>
    </row>
    <row r="87" spans="57:64" ht="15.75">
      <c r="BE87" s="140">
        <f t="shared" si="47"/>
        <v>809728.8700000001</v>
      </c>
      <c r="BL87" s="140">
        <f t="shared" si="48"/>
        <v>98932</v>
      </c>
    </row>
    <row r="88" spans="57:64" ht="15.75">
      <c r="BE88" s="140">
        <f t="shared" si="47"/>
        <v>809728.8700000001</v>
      </c>
      <c r="BL88" s="140">
        <f t="shared" si="48"/>
        <v>98932</v>
      </c>
    </row>
    <row r="89" spans="57:64" ht="15.75">
      <c r="BE89" s="140">
        <f t="shared" si="47"/>
        <v>809728.8700000001</v>
      </c>
      <c r="BL89" s="140">
        <f t="shared" si="48"/>
        <v>98932</v>
      </c>
    </row>
    <row r="90" spans="57:64" ht="15.75">
      <c r="BE90" s="140">
        <f t="shared" si="47"/>
        <v>809728.8700000001</v>
      </c>
      <c r="BL90" s="140">
        <f t="shared" si="48"/>
        <v>98932</v>
      </c>
    </row>
    <row r="91" spans="57:64" ht="15.75">
      <c r="BE91" s="140">
        <f t="shared" si="47"/>
        <v>809728.8700000001</v>
      </c>
      <c r="BL91" s="140">
        <f t="shared" si="48"/>
        <v>98932</v>
      </c>
    </row>
    <row r="92" spans="57:64" ht="15.75">
      <c r="BE92" s="140">
        <f t="shared" si="47"/>
        <v>809728.8700000001</v>
      </c>
      <c r="BL92" s="140">
        <f t="shared" si="48"/>
        <v>98932</v>
      </c>
    </row>
    <row r="93" spans="57:64" ht="15.75">
      <c r="BE93" s="140">
        <f t="shared" si="47"/>
        <v>809728.8700000001</v>
      </c>
      <c r="BL93" s="140">
        <f t="shared" si="48"/>
        <v>98932</v>
      </c>
    </row>
    <row r="94" spans="57:64" ht="15.75">
      <c r="BE94" s="140">
        <f t="shared" si="47"/>
        <v>809728.8700000001</v>
      </c>
      <c r="BL94" s="140">
        <f t="shared" si="48"/>
        <v>98932</v>
      </c>
    </row>
    <row r="95" spans="57:64" ht="15.75">
      <c r="BE95" s="140">
        <f t="shared" si="47"/>
        <v>809728.8700000001</v>
      </c>
      <c r="BL95" s="140">
        <f t="shared" si="48"/>
        <v>98932</v>
      </c>
    </row>
    <row r="96" spans="57:64" ht="15.75">
      <c r="BE96" s="140">
        <f t="shared" si="47"/>
        <v>809728.8700000001</v>
      </c>
      <c r="BL96" s="140">
        <f t="shared" si="48"/>
        <v>98932</v>
      </c>
    </row>
    <row r="97" spans="57:64" ht="15.75">
      <c r="BE97" s="140">
        <f t="shared" si="47"/>
        <v>809728.8700000001</v>
      </c>
      <c r="BL97" s="140">
        <f t="shared" si="48"/>
        <v>98932</v>
      </c>
    </row>
    <row r="98" spans="57:64" ht="15.75">
      <c r="BE98" s="140">
        <f t="shared" si="47"/>
        <v>809728.8700000001</v>
      </c>
      <c r="BL98" s="140">
        <f t="shared" si="48"/>
        <v>98932</v>
      </c>
    </row>
    <row r="99" spans="57:64" ht="15.75">
      <c r="BE99" s="140">
        <f aca="true" t="shared" si="49" ref="BE99:BE110">BE98</f>
        <v>809728.8700000001</v>
      </c>
      <c r="BL99" s="140">
        <f t="shared" si="48"/>
        <v>98932</v>
      </c>
    </row>
    <row r="100" ht="15.75">
      <c r="BE100" s="140">
        <f t="shared" si="49"/>
        <v>809728.8700000001</v>
      </c>
    </row>
    <row r="101" ht="15.75">
      <c r="BE101" s="140">
        <f t="shared" si="49"/>
        <v>809728.8700000001</v>
      </c>
    </row>
    <row r="102" ht="15.75">
      <c r="BE102" s="140">
        <f t="shared" si="49"/>
        <v>809728.8700000001</v>
      </c>
    </row>
    <row r="103" ht="15.75">
      <c r="BE103" s="140">
        <f t="shared" si="49"/>
        <v>809728.8700000001</v>
      </c>
    </row>
    <row r="104" ht="15.75">
      <c r="BE104" s="140">
        <f t="shared" si="49"/>
        <v>809728.8700000001</v>
      </c>
    </row>
    <row r="105" ht="15.75">
      <c r="BE105" s="140">
        <f t="shared" si="49"/>
        <v>809728.8700000001</v>
      </c>
    </row>
    <row r="106" ht="15.75">
      <c r="BE106" s="140">
        <f t="shared" si="49"/>
        <v>809728.8700000001</v>
      </c>
    </row>
    <row r="107" ht="15.75">
      <c r="BE107" s="140">
        <f t="shared" si="49"/>
        <v>809728.8700000001</v>
      </c>
    </row>
    <row r="108" ht="15.75">
      <c r="BE108" s="140">
        <f t="shared" si="49"/>
        <v>809728.8700000001</v>
      </c>
    </row>
    <row r="109" ht="15.75">
      <c r="BE109" s="140">
        <f t="shared" si="49"/>
        <v>809728.8700000001</v>
      </c>
    </row>
    <row r="110" ht="15.75">
      <c r="BE110" s="140">
        <f t="shared" si="49"/>
        <v>809728.8700000001</v>
      </c>
    </row>
  </sheetData>
  <sheetProtection/>
  <mergeCells count="185">
    <mergeCell ref="EH8:EH9"/>
    <mergeCell ref="EM8:EM9"/>
    <mergeCell ref="EN8:EN9"/>
    <mergeCell ref="EO8:EO9"/>
    <mergeCell ref="EQ8:EQ9"/>
    <mergeCell ref="ER8:ER9"/>
    <mergeCell ref="AM8:AM9"/>
    <mergeCell ref="AK8:AK9"/>
    <mergeCell ref="AL8:AL9"/>
    <mergeCell ref="ET8:ET9"/>
    <mergeCell ref="EI8:EI9"/>
    <mergeCell ref="EJ8:EJ9"/>
    <mergeCell ref="EK8:EK9"/>
    <mergeCell ref="EL8:EL9"/>
    <mergeCell ref="EC8:EC9"/>
    <mergeCell ref="ED8:ED9"/>
    <mergeCell ref="EE8:EE9"/>
    <mergeCell ref="EF8:EF9"/>
    <mergeCell ref="EG8:EG9"/>
    <mergeCell ref="EB8:EB9"/>
    <mergeCell ref="DS8:DS9"/>
    <mergeCell ref="DT8:DT9"/>
    <mergeCell ref="DU8:DU9"/>
    <mergeCell ref="DV8:DV9"/>
    <mergeCell ref="ES8:ES9"/>
    <mergeCell ref="DW8:DW9"/>
    <mergeCell ref="DX8:DX9"/>
    <mergeCell ref="DY8:DY9"/>
    <mergeCell ref="DZ8:DZ9"/>
    <mergeCell ref="DM8:DN8"/>
    <mergeCell ref="DO8:DP8"/>
    <mergeCell ref="DQ8:DQ9"/>
    <mergeCell ref="DR8:DR9"/>
    <mergeCell ref="EA8:EA9"/>
    <mergeCell ref="DK8:DL8"/>
    <mergeCell ref="CW8:CX8"/>
    <mergeCell ref="CY8:CZ8"/>
    <mergeCell ref="DA8:DB8"/>
    <mergeCell ref="DI8:DJ8"/>
    <mergeCell ref="DC8:DD8"/>
    <mergeCell ref="DE8:DF8"/>
    <mergeCell ref="DG8:DH8"/>
    <mergeCell ref="CM8:CN8"/>
    <mergeCell ref="CI8:CJ8"/>
    <mergeCell ref="CO8:CP8"/>
    <mergeCell ref="CS8:CT8"/>
    <mergeCell ref="CU8:CV8"/>
    <mergeCell ref="CQ8:CR8"/>
    <mergeCell ref="BY8:BZ8"/>
    <mergeCell ref="CE8:CF8"/>
    <mergeCell ref="CA8:CB8"/>
    <mergeCell ref="CC8:CD8"/>
    <mergeCell ref="CK8:CL8"/>
    <mergeCell ref="CG8:CH8"/>
    <mergeCell ref="BS8:BS9"/>
    <mergeCell ref="BT8:BT9"/>
    <mergeCell ref="BX8:BX9"/>
    <mergeCell ref="BU8:BU9"/>
    <mergeCell ref="BV8:BV9"/>
    <mergeCell ref="BW8:BW9"/>
    <mergeCell ref="BM8:BM9"/>
    <mergeCell ref="BN8:BN9"/>
    <mergeCell ref="BP8:BP9"/>
    <mergeCell ref="BQ8:BQ9"/>
    <mergeCell ref="BR8:BR9"/>
    <mergeCell ref="BO8:BO9"/>
    <mergeCell ref="BD8:BD9"/>
    <mergeCell ref="BE8:BE9"/>
    <mergeCell ref="BL8:BL9"/>
    <mergeCell ref="BF8:BF9"/>
    <mergeCell ref="BG8:BG9"/>
    <mergeCell ref="BK8:BK9"/>
    <mergeCell ref="AW8:AW9"/>
    <mergeCell ref="AX8:AX9"/>
    <mergeCell ref="AZ8:BA8"/>
    <mergeCell ref="BB8:BB9"/>
    <mergeCell ref="BC8:BC9"/>
    <mergeCell ref="AY8:AY9"/>
    <mergeCell ref="AP8:AP9"/>
    <mergeCell ref="AQ8:AQ9"/>
    <mergeCell ref="AV8:AV9"/>
    <mergeCell ref="AR8:AR9"/>
    <mergeCell ref="AT8:AT9"/>
    <mergeCell ref="AU8:AU9"/>
    <mergeCell ref="AI8:AI9"/>
    <mergeCell ref="AJ8:AJ9"/>
    <mergeCell ref="AN8:AN9"/>
    <mergeCell ref="AO8:AO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S8:S9"/>
    <mergeCell ref="U8:U9"/>
    <mergeCell ref="V8:V9"/>
    <mergeCell ref="W8:W9"/>
    <mergeCell ref="X8:X9"/>
    <mergeCell ref="Y8:Y9"/>
    <mergeCell ref="T8:T9"/>
    <mergeCell ref="J8:J9"/>
    <mergeCell ref="K8:K9"/>
    <mergeCell ref="O8:O9"/>
    <mergeCell ref="P8:P9"/>
    <mergeCell ref="Q8:Q9"/>
    <mergeCell ref="R8:R9"/>
    <mergeCell ref="DS7:DT7"/>
    <mergeCell ref="DU7:DV7"/>
    <mergeCell ref="DW7:DY7"/>
    <mergeCell ref="DZ7:EB7"/>
    <mergeCell ref="EC7:EE7"/>
    <mergeCell ref="EF7:EH7"/>
    <mergeCell ref="BT7:BV7"/>
    <mergeCell ref="BW7:BX7"/>
    <mergeCell ref="BY7:CN7"/>
    <mergeCell ref="CO7:DD7"/>
    <mergeCell ref="DE7:DP7"/>
    <mergeCell ref="DQ7:DR7"/>
    <mergeCell ref="AO7:AR7"/>
    <mergeCell ref="AU7:AX7"/>
    <mergeCell ref="AY7:BC7"/>
    <mergeCell ref="BD7:BG7"/>
    <mergeCell ref="BK7:BN7"/>
    <mergeCell ref="BO7:BS7"/>
    <mergeCell ref="O7:R7"/>
    <mergeCell ref="S7:W7"/>
    <mergeCell ref="X7:AA7"/>
    <mergeCell ref="AB7:AE7"/>
    <mergeCell ref="AF7:AJ7"/>
    <mergeCell ref="AK7:AN7"/>
    <mergeCell ref="EI4:EK6"/>
    <mergeCell ref="EL4:EN6"/>
    <mergeCell ref="EO4:EQ6"/>
    <mergeCell ref="ER4:ET7"/>
    <mergeCell ref="EI7:EK7"/>
    <mergeCell ref="EL7:EN7"/>
    <mergeCell ref="EO7:EQ7"/>
    <mergeCell ref="DS4:DT6"/>
    <mergeCell ref="DU4:DV6"/>
    <mergeCell ref="DW4:DY6"/>
    <mergeCell ref="DZ4:EB6"/>
    <mergeCell ref="EC4:EE6"/>
    <mergeCell ref="EF4:EH6"/>
    <mergeCell ref="BT4:BV6"/>
    <mergeCell ref="BW4:BX6"/>
    <mergeCell ref="BY4:CN6"/>
    <mergeCell ref="CO4:DD6"/>
    <mergeCell ref="DE4:DP6"/>
    <mergeCell ref="DQ4:DR6"/>
    <mergeCell ref="AO4:AR6"/>
    <mergeCell ref="AU4:AX6"/>
    <mergeCell ref="AY4:BC6"/>
    <mergeCell ref="BD4:BG6"/>
    <mergeCell ref="BK4:BN6"/>
    <mergeCell ref="BO4:BS6"/>
    <mergeCell ref="O4:R6"/>
    <mergeCell ref="S4:W6"/>
    <mergeCell ref="X4:AA6"/>
    <mergeCell ref="AB4:AE6"/>
    <mergeCell ref="AF4:AJ6"/>
    <mergeCell ref="AK4:AN6"/>
    <mergeCell ref="G4:J6"/>
    <mergeCell ref="K4:N6"/>
    <mergeCell ref="L8:L9"/>
    <mergeCell ref="M8:M9"/>
    <mergeCell ref="N8:N9"/>
    <mergeCell ref="G7:J7"/>
    <mergeCell ref="K7:N7"/>
    <mergeCell ref="G8:G9"/>
    <mergeCell ref="H8:H9"/>
    <mergeCell ref="I8:I9"/>
    <mergeCell ref="A4:A9"/>
    <mergeCell ref="B4:B9"/>
    <mergeCell ref="C4:D6"/>
    <mergeCell ref="E4:F6"/>
    <mergeCell ref="C7:D7"/>
    <mergeCell ref="E7:F7"/>
    <mergeCell ref="C8:C9"/>
    <mergeCell ref="D8:D9"/>
    <mergeCell ref="E8:E9"/>
    <mergeCell ref="F8:F9"/>
  </mergeCells>
  <printOptions horizontalCentered="1"/>
  <pageMargins left="0" right="0.1968503937007874" top="0.15748031496062992" bottom="0.15748031496062992" header="0.2362204724409449" footer="0.15748031496062992"/>
  <pageSetup fitToHeight="1" fitToWidth="1" horizontalDpi="600" verticalDpi="600" orientation="portrait" paperSize="9" scale="10" r:id="rId3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НА 01.12.2014 года
</oddHeader>
  </headerFooter>
  <colBreaks count="4" manualBreakCount="4">
    <brk id="20" max="65535" man="1"/>
    <brk id="29" max="65535" man="1"/>
    <brk id="124" max="65535" man="1"/>
    <brk id="14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714" t="s">
        <v>1</v>
      </c>
      <c r="B4" s="715" t="s">
        <v>2</v>
      </c>
      <c r="C4" s="669" t="s">
        <v>3</v>
      </c>
      <c r="D4" s="679"/>
      <c r="E4" s="669" t="s">
        <v>4</v>
      </c>
      <c r="F4" s="683"/>
      <c r="G4" s="696" t="s">
        <v>5</v>
      </c>
      <c r="H4" s="652"/>
      <c r="I4" s="652"/>
      <c r="J4" s="692"/>
      <c r="K4" s="669" t="s">
        <v>6</v>
      </c>
      <c r="L4" s="652"/>
      <c r="M4" s="652"/>
      <c r="N4" s="679"/>
      <c r="O4" s="669" t="s">
        <v>7</v>
      </c>
      <c r="P4" s="652"/>
      <c r="Q4" s="652"/>
      <c r="R4" s="679"/>
      <c r="S4" s="669" t="s">
        <v>8</v>
      </c>
      <c r="T4" s="652"/>
      <c r="U4" s="652"/>
      <c r="V4" s="679"/>
      <c r="W4" s="669" t="s">
        <v>9</v>
      </c>
      <c r="X4" s="652"/>
      <c r="Y4" s="652"/>
      <c r="Z4" s="679"/>
      <c r="AA4" s="669" t="s">
        <v>172</v>
      </c>
      <c r="AB4" s="652"/>
      <c r="AC4" s="652"/>
      <c r="AD4" s="679"/>
      <c r="AE4" s="669" t="s">
        <v>10</v>
      </c>
      <c r="AF4" s="652"/>
      <c r="AG4" s="652"/>
      <c r="AH4" s="652"/>
      <c r="AI4" s="679"/>
      <c r="AJ4" s="669" t="s">
        <v>11</v>
      </c>
      <c r="AK4" s="652"/>
      <c r="AL4" s="652"/>
      <c r="AM4" s="692"/>
      <c r="AN4" s="652" t="s">
        <v>12</v>
      </c>
      <c r="AO4" s="652"/>
      <c r="AP4" s="652"/>
      <c r="AQ4" s="652"/>
      <c r="AR4" s="7"/>
      <c r="AS4" s="7"/>
      <c r="AT4" s="652" t="s">
        <v>13</v>
      </c>
      <c r="AU4" s="652"/>
      <c r="AV4" s="652"/>
      <c r="AW4" s="652"/>
      <c r="AX4" s="652" t="s">
        <v>14</v>
      </c>
      <c r="AY4" s="652"/>
      <c r="AZ4" s="652"/>
      <c r="BA4" s="652"/>
      <c r="BB4" s="652"/>
      <c r="BC4" s="652" t="s">
        <v>15</v>
      </c>
      <c r="BD4" s="652"/>
      <c r="BE4" s="652"/>
      <c r="BF4" s="652"/>
      <c r="BG4" s="6"/>
      <c r="BH4" s="7"/>
      <c r="BI4" s="7"/>
      <c r="BJ4" s="652" t="s">
        <v>16</v>
      </c>
      <c r="BK4" s="652"/>
      <c r="BL4" s="652"/>
      <c r="BM4" s="652"/>
      <c r="BN4" s="652" t="s">
        <v>17</v>
      </c>
      <c r="BO4" s="652"/>
      <c r="BP4" s="652"/>
      <c r="BQ4" s="652"/>
      <c r="BR4" s="652"/>
      <c r="BS4" s="725" t="s">
        <v>18</v>
      </c>
      <c r="BT4" s="725"/>
      <c r="BU4" s="725"/>
      <c r="BV4" s="652" t="s">
        <v>19</v>
      </c>
      <c r="BW4" s="692"/>
      <c r="BX4" s="669" t="s">
        <v>20</v>
      </c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79"/>
      <c r="CN4" s="696" t="s">
        <v>21</v>
      </c>
      <c r="CO4" s="652"/>
      <c r="CP4" s="652"/>
      <c r="CQ4" s="652"/>
      <c r="CR4" s="652"/>
      <c r="CS4" s="652"/>
      <c r="CT4" s="652"/>
      <c r="CU4" s="652"/>
      <c r="CV4" s="652"/>
      <c r="CW4" s="652"/>
      <c r="CX4" s="652"/>
      <c r="CY4" s="652"/>
      <c r="CZ4" s="652"/>
      <c r="DA4" s="652"/>
      <c r="DB4" s="652"/>
      <c r="DC4" s="692"/>
      <c r="DD4" s="669" t="s">
        <v>22</v>
      </c>
      <c r="DE4" s="652"/>
      <c r="DF4" s="652"/>
      <c r="DG4" s="652"/>
      <c r="DH4" s="652"/>
      <c r="DI4" s="652"/>
      <c r="DJ4" s="652"/>
      <c r="DK4" s="652"/>
      <c r="DL4" s="652"/>
      <c r="DM4" s="652"/>
      <c r="DN4" s="652"/>
      <c r="DO4" s="679"/>
      <c r="DP4" s="669" t="s">
        <v>23</v>
      </c>
      <c r="DQ4" s="679"/>
      <c r="DR4" s="669" t="s">
        <v>24</v>
      </c>
      <c r="DS4" s="679"/>
      <c r="DT4" s="696" t="s">
        <v>25</v>
      </c>
      <c r="DU4" s="692"/>
      <c r="DV4" s="652" t="s">
        <v>26</v>
      </c>
      <c r="DW4" s="652"/>
      <c r="DX4" s="679"/>
      <c r="DY4" s="669" t="s">
        <v>27</v>
      </c>
      <c r="DZ4" s="652"/>
      <c r="EA4" s="679"/>
      <c r="EB4" s="696" t="s">
        <v>28</v>
      </c>
      <c r="EC4" s="652"/>
      <c r="ED4" s="652"/>
      <c r="EE4" s="652" t="s">
        <v>29</v>
      </c>
      <c r="EF4" s="652"/>
      <c r="EG4" s="652"/>
      <c r="EH4" s="652" t="s">
        <v>30</v>
      </c>
      <c r="EI4" s="652"/>
      <c r="EJ4" s="692"/>
      <c r="EK4" s="669" t="s">
        <v>31</v>
      </c>
      <c r="EL4" s="652"/>
      <c r="EM4" s="679"/>
      <c r="EN4" s="656" t="s">
        <v>160</v>
      </c>
      <c r="EO4" s="657"/>
      <c r="EP4" s="669" t="s">
        <v>32</v>
      </c>
      <c r="EQ4" s="652"/>
      <c r="ER4" s="652"/>
      <c r="ES4" s="679"/>
    </row>
    <row r="5" spans="1:149" s="11" customFormat="1" ht="15.75">
      <c r="A5" s="684"/>
      <c r="B5" s="716"/>
      <c r="C5" s="680"/>
      <c r="D5" s="681"/>
      <c r="E5" s="684"/>
      <c r="F5" s="685"/>
      <c r="G5" s="697"/>
      <c r="H5" s="653"/>
      <c r="I5" s="653"/>
      <c r="J5" s="693"/>
      <c r="K5" s="680"/>
      <c r="L5" s="653"/>
      <c r="M5" s="653"/>
      <c r="N5" s="681"/>
      <c r="O5" s="680"/>
      <c r="P5" s="653"/>
      <c r="Q5" s="653"/>
      <c r="R5" s="681"/>
      <c r="S5" s="680"/>
      <c r="T5" s="653"/>
      <c r="U5" s="653"/>
      <c r="V5" s="681"/>
      <c r="W5" s="680"/>
      <c r="X5" s="653"/>
      <c r="Y5" s="653"/>
      <c r="Z5" s="681"/>
      <c r="AA5" s="680"/>
      <c r="AB5" s="653"/>
      <c r="AC5" s="653"/>
      <c r="AD5" s="681"/>
      <c r="AE5" s="680"/>
      <c r="AF5" s="653"/>
      <c r="AG5" s="653"/>
      <c r="AH5" s="653"/>
      <c r="AI5" s="681"/>
      <c r="AJ5" s="680"/>
      <c r="AK5" s="653"/>
      <c r="AL5" s="653"/>
      <c r="AM5" s="693"/>
      <c r="AN5" s="653"/>
      <c r="AO5" s="653"/>
      <c r="AP5" s="653"/>
      <c r="AQ5" s="653"/>
      <c r="AR5" s="10"/>
      <c r="AS5" s="10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9"/>
      <c r="BH5" s="10"/>
      <c r="BI5" s="10"/>
      <c r="BJ5" s="653"/>
      <c r="BK5" s="653"/>
      <c r="BL5" s="653"/>
      <c r="BM5" s="653"/>
      <c r="BN5" s="653"/>
      <c r="BO5" s="653"/>
      <c r="BP5" s="653"/>
      <c r="BQ5" s="653"/>
      <c r="BR5" s="653"/>
      <c r="BS5" s="726"/>
      <c r="BT5" s="726"/>
      <c r="BU5" s="726"/>
      <c r="BV5" s="653"/>
      <c r="BW5" s="693"/>
      <c r="BX5" s="680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81"/>
      <c r="CN5" s="697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93"/>
      <c r="DD5" s="680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81"/>
      <c r="DP5" s="680"/>
      <c r="DQ5" s="681"/>
      <c r="DR5" s="680"/>
      <c r="DS5" s="681"/>
      <c r="DT5" s="697"/>
      <c r="DU5" s="693"/>
      <c r="DV5" s="653"/>
      <c r="DW5" s="653"/>
      <c r="DX5" s="681"/>
      <c r="DY5" s="680"/>
      <c r="DZ5" s="653"/>
      <c r="EA5" s="681"/>
      <c r="EB5" s="697"/>
      <c r="EC5" s="653"/>
      <c r="ED5" s="653"/>
      <c r="EE5" s="653"/>
      <c r="EF5" s="653"/>
      <c r="EG5" s="653"/>
      <c r="EH5" s="653"/>
      <c r="EI5" s="653"/>
      <c r="EJ5" s="693"/>
      <c r="EK5" s="680"/>
      <c r="EL5" s="653"/>
      <c r="EM5" s="681"/>
      <c r="EN5" s="658"/>
      <c r="EO5" s="659"/>
      <c r="EP5" s="680"/>
      <c r="EQ5" s="653"/>
      <c r="ER5" s="653"/>
      <c r="ES5" s="681"/>
    </row>
    <row r="6" spans="1:149" s="16" customFormat="1" ht="153" customHeight="1" thickBot="1">
      <c r="A6" s="684"/>
      <c r="B6" s="716"/>
      <c r="C6" s="670"/>
      <c r="D6" s="682"/>
      <c r="E6" s="686"/>
      <c r="F6" s="687"/>
      <c r="G6" s="698"/>
      <c r="H6" s="654"/>
      <c r="I6" s="654"/>
      <c r="J6" s="694"/>
      <c r="K6" s="670"/>
      <c r="L6" s="654"/>
      <c r="M6" s="654"/>
      <c r="N6" s="682"/>
      <c r="O6" s="670"/>
      <c r="P6" s="654"/>
      <c r="Q6" s="654"/>
      <c r="R6" s="682"/>
      <c r="S6" s="670"/>
      <c r="T6" s="654"/>
      <c r="U6" s="654"/>
      <c r="V6" s="682"/>
      <c r="W6" s="670"/>
      <c r="X6" s="654"/>
      <c r="Y6" s="654"/>
      <c r="Z6" s="682"/>
      <c r="AA6" s="670"/>
      <c r="AB6" s="654"/>
      <c r="AC6" s="654"/>
      <c r="AD6" s="682"/>
      <c r="AE6" s="670"/>
      <c r="AF6" s="654"/>
      <c r="AG6" s="654"/>
      <c r="AH6" s="654"/>
      <c r="AI6" s="682"/>
      <c r="AJ6" s="670"/>
      <c r="AK6" s="654"/>
      <c r="AL6" s="654"/>
      <c r="AM6" s="694"/>
      <c r="AN6" s="654"/>
      <c r="AO6" s="654"/>
      <c r="AP6" s="654"/>
      <c r="AQ6" s="654"/>
      <c r="AR6" s="15"/>
      <c r="AS6" s="15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54"/>
      <c r="BG6" s="14"/>
      <c r="BH6" s="15"/>
      <c r="BI6" s="15"/>
      <c r="BJ6" s="654"/>
      <c r="BK6" s="654"/>
      <c r="BL6" s="654"/>
      <c r="BM6" s="654"/>
      <c r="BN6" s="654"/>
      <c r="BO6" s="654"/>
      <c r="BP6" s="654"/>
      <c r="BQ6" s="654"/>
      <c r="BR6" s="654"/>
      <c r="BS6" s="727"/>
      <c r="BT6" s="727"/>
      <c r="BU6" s="727"/>
      <c r="BV6" s="654"/>
      <c r="BW6" s="694"/>
      <c r="BX6" s="670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82"/>
      <c r="CN6" s="698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54"/>
      <c r="DB6" s="654"/>
      <c r="DC6" s="694"/>
      <c r="DD6" s="670"/>
      <c r="DE6" s="654"/>
      <c r="DF6" s="654"/>
      <c r="DG6" s="654"/>
      <c r="DH6" s="654"/>
      <c r="DI6" s="654"/>
      <c r="DJ6" s="654"/>
      <c r="DK6" s="654"/>
      <c r="DL6" s="654"/>
      <c r="DM6" s="654"/>
      <c r="DN6" s="654"/>
      <c r="DO6" s="682"/>
      <c r="DP6" s="670"/>
      <c r="DQ6" s="682"/>
      <c r="DR6" s="670"/>
      <c r="DS6" s="682"/>
      <c r="DT6" s="698"/>
      <c r="DU6" s="694"/>
      <c r="DV6" s="654"/>
      <c r="DW6" s="654"/>
      <c r="DX6" s="682"/>
      <c r="DY6" s="670"/>
      <c r="DZ6" s="654"/>
      <c r="EA6" s="682"/>
      <c r="EB6" s="698"/>
      <c r="EC6" s="654"/>
      <c r="ED6" s="654"/>
      <c r="EE6" s="654"/>
      <c r="EF6" s="654"/>
      <c r="EG6" s="654"/>
      <c r="EH6" s="654"/>
      <c r="EI6" s="654"/>
      <c r="EJ6" s="694"/>
      <c r="EK6" s="670"/>
      <c r="EL6" s="654"/>
      <c r="EM6" s="682"/>
      <c r="EN6" s="660"/>
      <c r="EO6" s="661"/>
      <c r="EP6" s="680"/>
      <c r="EQ6" s="653"/>
      <c r="ER6" s="653"/>
      <c r="ES6" s="681"/>
    </row>
    <row r="7" spans="1:149" s="16" customFormat="1" ht="16.5" thickBot="1">
      <c r="A7" s="684"/>
      <c r="B7" s="716"/>
      <c r="C7" s="766" t="s">
        <v>33</v>
      </c>
      <c r="D7" s="768"/>
      <c r="E7" s="766" t="s">
        <v>34</v>
      </c>
      <c r="F7" s="768"/>
      <c r="G7" s="769" t="s">
        <v>35</v>
      </c>
      <c r="H7" s="767"/>
      <c r="I7" s="767"/>
      <c r="J7" s="770"/>
      <c r="K7" s="766" t="s">
        <v>36</v>
      </c>
      <c r="L7" s="767"/>
      <c r="M7" s="767"/>
      <c r="N7" s="768"/>
      <c r="O7" s="766" t="s">
        <v>37</v>
      </c>
      <c r="P7" s="767"/>
      <c r="Q7" s="767"/>
      <c r="R7" s="768"/>
      <c r="S7" s="766" t="s">
        <v>38</v>
      </c>
      <c r="T7" s="767"/>
      <c r="U7" s="767"/>
      <c r="V7" s="768"/>
      <c r="W7" s="766" t="s">
        <v>39</v>
      </c>
      <c r="X7" s="767"/>
      <c r="Y7" s="767"/>
      <c r="Z7" s="768"/>
      <c r="AA7" s="766" t="s">
        <v>40</v>
      </c>
      <c r="AB7" s="767"/>
      <c r="AC7" s="767"/>
      <c r="AD7" s="768"/>
      <c r="AE7" s="766" t="s">
        <v>41</v>
      </c>
      <c r="AF7" s="767"/>
      <c r="AG7" s="767"/>
      <c r="AH7" s="767"/>
      <c r="AI7" s="768"/>
      <c r="AJ7" s="766" t="s">
        <v>42</v>
      </c>
      <c r="AK7" s="767"/>
      <c r="AL7" s="767"/>
      <c r="AM7" s="770"/>
      <c r="AN7" s="767" t="s">
        <v>43</v>
      </c>
      <c r="AO7" s="767"/>
      <c r="AP7" s="767"/>
      <c r="AQ7" s="767"/>
      <c r="AR7" s="376"/>
      <c r="AS7" s="376"/>
      <c r="AT7" s="767" t="s">
        <v>44</v>
      </c>
      <c r="AU7" s="767"/>
      <c r="AV7" s="767"/>
      <c r="AW7" s="767"/>
      <c r="AX7" s="767" t="s">
        <v>45</v>
      </c>
      <c r="AY7" s="767"/>
      <c r="AZ7" s="767"/>
      <c r="BA7" s="767"/>
      <c r="BB7" s="767"/>
      <c r="BC7" s="767" t="s">
        <v>46</v>
      </c>
      <c r="BD7" s="767"/>
      <c r="BE7" s="767"/>
      <c r="BF7" s="767"/>
      <c r="BG7" s="375"/>
      <c r="BH7" s="376"/>
      <c r="BI7" s="376"/>
      <c r="BJ7" s="767" t="s">
        <v>47</v>
      </c>
      <c r="BK7" s="767"/>
      <c r="BL7" s="767"/>
      <c r="BM7" s="767"/>
      <c r="BN7" s="767" t="s">
        <v>48</v>
      </c>
      <c r="BO7" s="767"/>
      <c r="BP7" s="767"/>
      <c r="BQ7" s="767"/>
      <c r="BR7" s="767"/>
      <c r="BS7" s="767" t="s">
        <v>49</v>
      </c>
      <c r="BT7" s="767"/>
      <c r="BU7" s="767"/>
      <c r="BV7" s="767" t="s">
        <v>50</v>
      </c>
      <c r="BW7" s="770"/>
      <c r="BX7" s="766" t="s">
        <v>51</v>
      </c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8"/>
      <c r="CN7" s="769" t="s">
        <v>52</v>
      </c>
      <c r="CO7" s="767"/>
      <c r="CP7" s="767"/>
      <c r="CQ7" s="767"/>
      <c r="CR7" s="767"/>
      <c r="CS7" s="767"/>
      <c r="CT7" s="767"/>
      <c r="CU7" s="767"/>
      <c r="CV7" s="767"/>
      <c r="CW7" s="767"/>
      <c r="CX7" s="767"/>
      <c r="CY7" s="767"/>
      <c r="CZ7" s="767"/>
      <c r="DA7" s="767"/>
      <c r="DB7" s="767"/>
      <c r="DC7" s="770"/>
      <c r="DD7" s="766" t="s">
        <v>53</v>
      </c>
      <c r="DE7" s="767"/>
      <c r="DF7" s="767"/>
      <c r="DG7" s="767"/>
      <c r="DH7" s="767"/>
      <c r="DI7" s="767"/>
      <c r="DJ7" s="767"/>
      <c r="DK7" s="767"/>
      <c r="DL7" s="767"/>
      <c r="DM7" s="767"/>
      <c r="DN7" s="767"/>
      <c r="DO7" s="768"/>
      <c r="DP7" s="766" t="s">
        <v>54</v>
      </c>
      <c r="DQ7" s="768"/>
      <c r="DR7" s="766" t="s">
        <v>55</v>
      </c>
      <c r="DS7" s="768"/>
      <c r="DT7" s="769" t="s">
        <v>56</v>
      </c>
      <c r="DU7" s="770"/>
      <c r="DV7" s="767" t="s">
        <v>57</v>
      </c>
      <c r="DW7" s="767"/>
      <c r="DX7" s="768"/>
      <c r="DY7" s="766" t="s">
        <v>58</v>
      </c>
      <c r="DZ7" s="767"/>
      <c r="EA7" s="768"/>
      <c r="EB7" s="769" t="s">
        <v>59</v>
      </c>
      <c r="EC7" s="767"/>
      <c r="ED7" s="767"/>
      <c r="EE7" s="767" t="s">
        <v>60</v>
      </c>
      <c r="EF7" s="767"/>
      <c r="EG7" s="767"/>
      <c r="EH7" s="767" t="s">
        <v>61</v>
      </c>
      <c r="EI7" s="767"/>
      <c r="EJ7" s="770"/>
      <c r="EK7" s="766" t="s">
        <v>63</v>
      </c>
      <c r="EL7" s="767"/>
      <c r="EM7" s="768"/>
      <c r="EN7" s="662" t="s">
        <v>62</v>
      </c>
      <c r="EO7" s="663"/>
      <c r="EP7" s="670"/>
      <c r="EQ7" s="654"/>
      <c r="ER7" s="654"/>
      <c r="ES7" s="682"/>
    </row>
    <row r="8" spans="1:154" s="16" customFormat="1" ht="111.75" customHeight="1" thickBot="1">
      <c r="A8" s="684"/>
      <c r="B8" s="716"/>
      <c r="C8" s="669" t="s">
        <v>64</v>
      </c>
      <c r="D8" s="671" t="s">
        <v>65</v>
      </c>
      <c r="E8" s="669" t="s">
        <v>64</v>
      </c>
      <c r="F8" s="671" t="s">
        <v>65</v>
      </c>
      <c r="G8" s="696" t="s">
        <v>66</v>
      </c>
      <c r="H8" s="652" t="s">
        <v>67</v>
      </c>
      <c r="I8" s="652" t="s">
        <v>64</v>
      </c>
      <c r="J8" s="675" t="s">
        <v>65</v>
      </c>
      <c r="K8" s="669" t="s">
        <v>67</v>
      </c>
      <c r="L8" s="652" t="s">
        <v>68</v>
      </c>
      <c r="M8" s="652" t="s">
        <v>64</v>
      </c>
      <c r="N8" s="671" t="s">
        <v>65</v>
      </c>
      <c r="O8" s="669" t="s">
        <v>67</v>
      </c>
      <c r="P8" s="652" t="s">
        <v>69</v>
      </c>
      <c r="Q8" s="652" t="s">
        <v>64</v>
      </c>
      <c r="R8" s="671" t="s">
        <v>65</v>
      </c>
      <c r="S8" s="669" t="s">
        <v>70</v>
      </c>
      <c r="T8" s="652" t="s">
        <v>71</v>
      </c>
      <c r="U8" s="652" t="s">
        <v>64</v>
      </c>
      <c r="V8" s="671" t="s">
        <v>65</v>
      </c>
      <c r="W8" s="669" t="s">
        <v>72</v>
      </c>
      <c r="X8" s="652" t="s">
        <v>73</v>
      </c>
      <c r="Y8" s="652" t="s">
        <v>64</v>
      </c>
      <c r="Z8" s="671" t="s">
        <v>65</v>
      </c>
      <c r="AA8" s="669" t="s">
        <v>74</v>
      </c>
      <c r="AB8" s="652" t="s">
        <v>75</v>
      </c>
      <c r="AC8" s="652" t="s">
        <v>64</v>
      </c>
      <c r="AD8" s="671" t="s">
        <v>65</v>
      </c>
      <c r="AE8" s="669" t="s">
        <v>76</v>
      </c>
      <c r="AF8" s="652" t="s">
        <v>77</v>
      </c>
      <c r="AG8" s="652" t="s">
        <v>78</v>
      </c>
      <c r="AH8" s="652" t="s">
        <v>64</v>
      </c>
      <c r="AI8" s="671" t="s">
        <v>65</v>
      </c>
      <c r="AJ8" s="669" t="s">
        <v>154</v>
      </c>
      <c r="AK8" s="652" t="s">
        <v>155</v>
      </c>
      <c r="AL8" s="652" t="s">
        <v>64</v>
      </c>
      <c r="AM8" s="675" t="s">
        <v>65</v>
      </c>
      <c r="AN8" s="652" t="s">
        <v>79</v>
      </c>
      <c r="AO8" s="652" t="s">
        <v>80</v>
      </c>
      <c r="AP8" s="652" t="s">
        <v>64</v>
      </c>
      <c r="AQ8" s="771" t="s">
        <v>81</v>
      </c>
      <c r="AR8" s="21"/>
      <c r="AS8" s="702" t="s">
        <v>82</v>
      </c>
      <c r="AT8" s="652" t="s">
        <v>82</v>
      </c>
      <c r="AU8" s="652" t="s">
        <v>83</v>
      </c>
      <c r="AV8" s="652" t="s">
        <v>64</v>
      </c>
      <c r="AW8" s="771" t="s">
        <v>65</v>
      </c>
      <c r="AX8" s="652" t="s">
        <v>84</v>
      </c>
      <c r="AY8" s="652" t="s">
        <v>85</v>
      </c>
      <c r="AZ8" s="652"/>
      <c r="BA8" s="652" t="s">
        <v>86</v>
      </c>
      <c r="BB8" s="652" t="s">
        <v>87</v>
      </c>
      <c r="BC8" s="704" t="s">
        <v>88</v>
      </c>
      <c r="BD8" s="704" t="s">
        <v>89</v>
      </c>
      <c r="BE8" s="652" t="s">
        <v>64</v>
      </c>
      <c r="BF8" s="771" t="s">
        <v>65</v>
      </c>
      <c r="BG8" s="21"/>
      <c r="BH8" s="21"/>
      <c r="BI8" s="21"/>
      <c r="BJ8" s="652" t="s">
        <v>90</v>
      </c>
      <c r="BK8" s="652" t="s">
        <v>91</v>
      </c>
      <c r="BL8" s="652" t="s">
        <v>64</v>
      </c>
      <c r="BM8" s="771" t="s">
        <v>65</v>
      </c>
      <c r="BN8" s="652" t="s">
        <v>92</v>
      </c>
      <c r="BO8" s="652" t="s">
        <v>93</v>
      </c>
      <c r="BP8" s="652" t="s">
        <v>94</v>
      </c>
      <c r="BQ8" s="652" t="s">
        <v>64</v>
      </c>
      <c r="BR8" s="771" t="s">
        <v>65</v>
      </c>
      <c r="BS8" s="652" t="s">
        <v>95</v>
      </c>
      <c r="BT8" s="652" t="s">
        <v>64</v>
      </c>
      <c r="BU8" s="771" t="s">
        <v>65</v>
      </c>
      <c r="BV8" s="652" t="s">
        <v>64</v>
      </c>
      <c r="BW8" s="671" t="s">
        <v>65</v>
      </c>
      <c r="BX8" s="766" t="s">
        <v>96</v>
      </c>
      <c r="BY8" s="767"/>
      <c r="BZ8" s="767" t="s">
        <v>156</v>
      </c>
      <c r="CA8" s="767"/>
      <c r="CB8" s="770" t="s">
        <v>97</v>
      </c>
      <c r="CC8" s="769"/>
      <c r="CD8" s="767" t="s">
        <v>151</v>
      </c>
      <c r="CE8" s="767"/>
      <c r="CF8" s="767" t="s">
        <v>161</v>
      </c>
      <c r="CG8" s="767"/>
      <c r="CH8" s="774"/>
      <c r="CI8" s="774"/>
      <c r="CJ8" s="767" t="s">
        <v>98</v>
      </c>
      <c r="CK8" s="767"/>
      <c r="CL8" s="767" t="s">
        <v>105</v>
      </c>
      <c r="CM8" s="768"/>
      <c r="CN8" s="769" t="s">
        <v>99</v>
      </c>
      <c r="CO8" s="767"/>
      <c r="CP8" s="773" t="s">
        <v>152</v>
      </c>
      <c r="CQ8" s="773"/>
      <c r="CR8" s="767" t="s">
        <v>157</v>
      </c>
      <c r="CS8" s="767"/>
      <c r="CT8" s="767" t="s">
        <v>153</v>
      </c>
      <c r="CU8" s="767"/>
      <c r="CV8" s="767" t="s">
        <v>162</v>
      </c>
      <c r="CW8" s="767"/>
      <c r="CX8" s="767" t="s">
        <v>100</v>
      </c>
      <c r="CY8" s="767"/>
      <c r="CZ8" s="767" t="s">
        <v>101</v>
      </c>
      <c r="DA8" s="767"/>
      <c r="DB8" s="767" t="s">
        <v>105</v>
      </c>
      <c r="DC8" s="770"/>
      <c r="DD8" s="766" t="s">
        <v>158</v>
      </c>
      <c r="DE8" s="767"/>
      <c r="DF8" s="767" t="s">
        <v>102</v>
      </c>
      <c r="DG8" s="767"/>
      <c r="DH8" s="767" t="s">
        <v>103</v>
      </c>
      <c r="DI8" s="767"/>
      <c r="DJ8" s="767" t="s">
        <v>159</v>
      </c>
      <c r="DK8" s="767"/>
      <c r="DL8" s="767" t="s">
        <v>104</v>
      </c>
      <c r="DM8" s="767"/>
      <c r="DN8" s="767" t="s">
        <v>105</v>
      </c>
      <c r="DO8" s="768"/>
      <c r="DP8" s="710" t="s">
        <v>64</v>
      </c>
      <c r="DQ8" s="710" t="s">
        <v>65</v>
      </c>
      <c r="DR8" s="669" t="s">
        <v>64</v>
      </c>
      <c r="DS8" s="679" t="s">
        <v>65</v>
      </c>
      <c r="DT8" s="696" t="s">
        <v>64</v>
      </c>
      <c r="DU8" s="692" t="s">
        <v>65</v>
      </c>
      <c r="DV8" s="652" t="s">
        <v>106</v>
      </c>
      <c r="DW8" s="652" t="s">
        <v>64</v>
      </c>
      <c r="DX8" s="679" t="s">
        <v>65</v>
      </c>
      <c r="DY8" s="669" t="s">
        <v>106</v>
      </c>
      <c r="DZ8" s="652" t="s">
        <v>64</v>
      </c>
      <c r="EA8" s="679" t="s">
        <v>65</v>
      </c>
      <c r="EB8" s="696" t="s">
        <v>106</v>
      </c>
      <c r="EC8" s="652" t="s">
        <v>64</v>
      </c>
      <c r="ED8" s="652" t="s">
        <v>65</v>
      </c>
      <c r="EE8" s="652" t="s">
        <v>106</v>
      </c>
      <c r="EF8" s="652" t="s">
        <v>64</v>
      </c>
      <c r="EG8" s="652" t="s">
        <v>65</v>
      </c>
      <c r="EH8" s="652" t="s">
        <v>106</v>
      </c>
      <c r="EI8" s="692" t="s">
        <v>64</v>
      </c>
      <c r="EJ8" s="710" t="s">
        <v>65</v>
      </c>
      <c r="EK8" s="728" t="s">
        <v>106</v>
      </c>
      <c r="EL8" s="718" t="s">
        <v>64</v>
      </c>
      <c r="EM8" s="731" t="s">
        <v>65</v>
      </c>
      <c r="EN8" s="664" t="s">
        <v>64</v>
      </c>
      <c r="EO8" s="666" t="s">
        <v>65</v>
      </c>
      <c r="EP8" s="669" t="s">
        <v>107</v>
      </c>
      <c r="EQ8" s="652" t="s">
        <v>108</v>
      </c>
      <c r="ER8" s="652" t="s">
        <v>109</v>
      </c>
      <c r="ES8" s="679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686"/>
      <c r="B9" s="717"/>
      <c r="C9" s="670"/>
      <c r="D9" s="672"/>
      <c r="E9" s="670"/>
      <c r="F9" s="672"/>
      <c r="G9" s="698"/>
      <c r="H9" s="654"/>
      <c r="I9" s="654"/>
      <c r="J9" s="676"/>
      <c r="K9" s="670"/>
      <c r="L9" s="654"/>
      <c r="M9" s="654"/>
      <c r="N9" s="672"/>
      <c r="O9" s="670"/>
      <c r="P9" s="654"/>
      <c r="Q9" s="654"/>
      <c r="R9" s="672"/>
      <c r="S9" s="670"/>
      <c r="T9" s="654"/>
      <c r="U9" s="654"/>
      <c r="V9" s="672"/>
      <c r="W9" s="670"/>
      <c r="X9" s="654"/>
      <c r="Y9" s="654"/>
      <c r="Z9" s="672"/>
      <c r="AA9" s="670"/>
      <c r="AB9" s="654"/>
      <c r="AC9" s="654"/>
      <c r="AD9" s="672"/>
      <c r="AE9" s="670"/>
      <c r="AF9" s="654"/>
      <c r="AG9" s="654"/>
      <c r="AH9" s="654"/>
      <c r="AI9" s="672"/>
      <c r="AJ9" s="670"/>
      <c r="AK9" s="654"/>
      <c r="AL9" s="654"/>
      <c r="AM9" s="676"/>
      <c r="AN9" s="654"/>
      <c r="AO9" s="654"/>
      <c r="AP9" s="654"/>
      <c r="AQ9" s="772"/>
      <c r="AR9" s="23"/>
      <c r="AS9" s="703"/>
      <c r="AT9" s="654"/>
      <c r="AU9" s="654"/>
      <c r="AV9" s="654"/>
      <c r="AW9" s="772"/>
      <c r="AX9" s="654"/>
      <c r="AY9" s="14" t="s">
        <v>111</v>
      </c>
      <c r="AZ9" s="14" t="s">
        <v>112</v>
      </c>
      <c r="BA9" s="654"/>
      <c r="BB9" s="654"/>
      <c r="BC9" s="775"/>
      <c r="BD9" s="775"/>
      <c r="BE9" s="654"/>
      <c r="BF9" s="772"/>
      <c r="BG9" s="23"/>
      <c r="BH9" s="23"/>
      <c r="BI9" s="23"/>
      <c r="BJ9" s="654"/>
      <c r="BK9" s="654"/>
      <c r="BL9" s="654"/>
      <c r="BM9" s="772"/>
      <c r="BN9" s="654"/>
      <c r="BO9" s="654"/>
      <c r="BP9" s="654"/>
      <c r="BQ9" s="654"/>
      <c r="BR9" s="772"/>
      <c r="BS9" s="654"/>
      <c r="BT9" s="654"/>
      <c r="BU9" s="772"/>
      <c r="BV9" s="654"/>
      <c r="BW9" s="672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711"/>
      <c r="DQ9" s="711"/>
      <c r="DR9" s="670"/>
      <c r="DS9" s="682"/>
      <c r="DT9" s="698"/>
      <c r="DU9" s="694"/>
      <c r="DV9" s="654"/>
      <c r="DW9" s="654"/>
      <c r="DX9" s="682"/>
      <c r="DY9" s="670"/>
      <c r="DZ9" s="654"/>
      <c r="EA9" s="682"/>
      <c r="EB9" s="698"/>
      <c r="EC9" s="654"/>
      <c r="ED9" s="654"/>
      <c r="EE9" s="654"/>
      <c r="EF9" s="654"/>
      <c r="EG9" s="654"/>
      <c r="EH9" s="654"/>
      <c r="EI9" s="694"/>
      <c r="EJ9" s="711"/>
      <c r="EK9" s="729"/>
      <c r="EL9" s="730"/>
      <c r="EM9" s="732"/>
      <c r="EN9" s="665"/>
      <c r="EO9" s="667"/>
      <c r="EP9" s="670"/>
      <c r="EQ9" s="654"/>
      <c r="ER9" s="654"/>
      <c r="ES9" s="682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714" t="s">
        <v>1</v>
      </c>
      <c r="B4" s="715" t="s">
        <v>2</v>
      </c>
      <c r="C4" s="669" t="s">
        <v>3</v>
      </c>
      <c r="D4" s="679"/>
      <c r="E4" s="669" t="s">
        <v>4</v>
      </c>
      <c r="F4" s="683"/>
      <c r="G4" s="696" t="s">
        <v>5</v>
      </c>
      <c r="H4" s="652"/>
      <c r="I4" s="652"/>
      <c r="J4" s="692"/>
      <c r="K4" s="669" t="s">
        <v>6</v>
      </c>
      <c r="L4" s="652"/>
      <c r="M4" s="652"/>
      <c r="N4" s="679"/>
      <c r="O4" s="669" t="s">
        <v>7</v>
      </c>
      <c r="P4" s="652"/>
      <c r="Q4" s="652"/>
      <c r="R4" s="679"/>
      <c r="S4" s="669" t="s">
        <v>8</v>
      </c>
      <c r="T4" s="652"/>
      <c r="U4" s="652"/>
      <c r="V4" s="679"/>
      <c r="W4" s="669" t="s">
        <v>9</v>
      </c>
      <c r="X4" s="652"/>
      <c r="Y4" s="652"/>
      <c r="Z4" s="679"/>
      <c r="AA4" s="669" t="s">
        <v>150</v>
      </c>
      <c r="AB4" s="652"/>
      <c r="AC4" s="652"/>
      <c r="AD4" s="679"/>
      <c r="AE4" s="669" t="s">
        <v>10</v>
      </c>
      <c r="AF4" s="652"/>
      <c r="AG4" s="652"/>
      <c r="AH4" s="652"/>
      <c r="AI4" s="679"/>
      <c r="AJ4" s="669" t="s">
        <v>11</v>
      </c>
      <c r="AK4" s="652"/>
      <c r="AL4" s="652"/>
      <c r="AM4" s="692"/>
      <c r="AN4" s="673" t="s">
        <v>12</v>
      </c>
      <c r="AO4" s="673"/>
      <c r="AP4" s="673"/>
      <c r="AQ4" s="673"/>
      <c r="AR4" s="5"/>
      <c r="AS4" s="5"/>
      <c r="AT4" s="652" t="s">
        <v>13</v>
      </c>
      <c r="AU4" s="652"/>
      <c r="AV4" s="652"/>
      <c r="AW4" s="652"/>
      <c r="AX4" s="652" t="s">
        <v>14</v>
      </c>
      <c r="AY4" s="652"/>
      <c r="AZ4" s="652"/>
      <c r="BA4" s="652"/>
      <c r="BB4" s="652"/>
      <c r="BC4" s="689" t="s">
        <v>15</v>
      </c>
      <c r="BD4" s="689"/>
      <c r="BE4" s="689"/>
      <c r="BF4" s="689"/>
      <c r="BG4" s="6"/>
      <c r="BH4" s="7"/>
      <c r="BI4" s="7"/>
      <c r="BJ4" s="652" t="s">
        <v>16</v>
      </c>
      <c r="BK4" s="652"/>
      <c r="BL4" s="652"/>
      <c r="BM4" s="652"/>
      <c r="BN4" s="652" t="s">
        <v>17</v>
      </c>
      <c r="BO4" s="652"/>
      <c r="BP4" s="652"/>
      <c r="BQ4" s="652"/>
      <c r="BR4" s="652"/>
      <c r="BS4" s="725" t="s">
        <v>18</v>
      </c>
      <c r="BT4" s="725"/>
      <c r="BU4" s="725"/>
      <c r="BV4" s="652" t="s">
        <v>19</v>
      </c>
      <c r="BW4" s="692"/>
      <c r="BX4" s="669" t="s">
        <v>20</v>
      </c>
      <c r="BY4" s="652"/>
      <c r="BZ4" s="652"/>
      <c r="CA4" s="652"/>
      <c r="CB4" s="652"/>
      <c r="CC4" s="652"/>
      <c r="CD4" s="652"/>
      <c r="CE4" s="652"/>
      <c r="CF4" s="652"/>
      <c r="CG4" s="652"/>
      <c r="CH4" s="652"/>
      <c r="CI4" s="652"/>
      <c r="CJ4" s="652"/>
      <c r="CK4" s="652"/>
      <c r="CL4" s="652"/>
      <c r="CM4" s="679"/>
      <c r="CN4" s="696" t="s">
        <v>21</v>
      </c>
      <c r="CO4" s="652"/>
      <c r="CP4" s="652"/>
      <c r="CQ4" s="652"/>
      <c r="CR4" s="652"/>
      <c r="CS4" s="652"/>
      <c r="CT4" s="652"/>
      <c r="CU4" s="652"/>
      <c r="CV4" s="652"/>
      <c r="CW4" s="652"/>
      <c r="CX4" s="652"/>
      <c r="CY4" s="652"/>
      <c r="CZ4" s="652"/>
      <c r="DA4" s="652"/>
      <c r="DB4" s="652"/>
      <c r="DC4" s="692"/>
      <c r="DD4" s="669" t="s">
        <v>22</v>
      </c>
      <c r="DE4" s="652"/>
      <c r="DF4" s="652"/>
      <c r="DG4" s="652"/>
      <c r="DH4" s="652"/>
      <c r="DI4" s="652"/>
      <c r="DJ4" s="652"/>
      <c r="DK4" s="652"/>
      <c r="DL4" s="652"/>
      <c r="DM4" s="652"/>
      <c r="DN4" s="652"/>
      <c r="DO4" s="679"/>
      <c r="DP4" s="669" t="s">
        <v>23</v>
      </c>
      <c r="DQ4" s="679"/>
      <c r="DR4" s="669" t="s">
        <v>24</v>
      </c>
      <c r="DS4" s="679"/>
      <c r="DT4" s="696" t="s">
        <v>25</v>
      </c>
      <c r="DU4" s="692"/>
      <c r="DV4" s="652" t="s">
        <v>26</v>
      </c>
      <c r="DW4" s="652"/>
      <c r="DX4" s="679"/>
      <c r="DY4" s="669" t="s">
        <v>27</v>
      </c>
      <c r="DZ4" s="652"/>
      <c r="EA4" s="679"/>
      <c r="EB4" s="696" t="s">
        <v>28</v>
      </c>
      <c r="EC4" s="652"/>
      <c r="ED4" s="652"/>
      <c r="EE4" s="652" t="s">
        <v>29</v>
      </c>
      <c r="EF4" s="652"/>
      <c r="EG4" s="652"/>
      <c r="EH4" s="652" t="s">
        <v>30</v>
      </c>
      <c r="EI4" s="652"/>
      <c r="EJ4" s="692"/>
      <c r="EK4" s="669" t="s">
        <v>31</v>
      </c>
      <c r="EL4" s="652"/>
      <c r="EM4" s="679"/>
      <c r="EN4" s="656" t="s">
        <v>160</v>
      </c>
      <c r="EO4" s="657"/>
      <c r="EP4" s="669" t="s">
        <v>32</v>
      </c>
      <c r="EQ4" s="652"/>
      <c r="ER4" s="679"/>
    </row>
    <row r="5" spans="1:148" s="11" customFormat="1" ht="15.75">
      <c r="A5" s="684"/>
      <c r="B5" s="716"/>
      <c r="C5" s="680"/>
      <c r="D5" s="681"/>
      <c r="E5" s="684"/>
      <c r="F5" s="685"/>
      <c r="G5" s="697"/>
      <c r="H5" s="653"/>
      <c r="I5" s="653"/>
      <c r="J5" s="693"/>
      <c r="K5" s="680"/>
      <c r="L5" s="653"/>
      <c r="M5" s="653"/>
      <c r="N5" s="681"/>
      <c r="O5" s="680"/>
      <c r="P5" s="653"/>
      <c r="Q5" s="653"/>
      <c r="R5" s="681"/>
      <c r="S5" s="680"/>
      <c r="T5" s="653"/>
      <c r="U5" s="653"/>
      <c r="V5" s="681"/>
      <c r="W5" s="680"/>
      <c r="X5" s="653"/>
      <c r="Y5" s="653"/>
      <c r="Z5" s="681"/>
      <c r="AA5" s="680"/>
      <c r="AB5" s="653"/>
      <c r="AC5" s="653"/>
      <c r="AD5" s="681"/>
      <c r="AE5" s="680"/>
      <c r="AF5" s="653"/>
      <c r="AG5" s="653"/>
      <c r="AH5" s="653"/>
      <c r="AI5" s="681"/>
      <c r="AJ5" s="680"/>
      <c r="AK5" s="653"/>
      <c r="AL5" s="653"/>
      <c r="AM5" s="693"/>
      <c r="AN5" s="695"/>
      <c r="AO5" s="695"/>
      <c r="AP5" s="695"/>
      <c r="AQ5" s="695"/>
      <c r="AR5" s="8"/>
      <c r="AS5" s="8"/>
      <c r="AT5" s="653"/>
      <c r="AU5" s="653"/>
      <c r="AV5" s="653"/>
      <c r="AW5" s="653"/>
      <c r="AX5" s="653"/>
      <c r="AY5" s="653"/>
      <c r="AZ5" s="653"/>
      <c r="BA5" s="653"/>
      <c r="BB5" s="653"/>
      <c r="BC5" s="690"/>
      <c r="BD5" s="690"/>
      <c r="BE5" s="690"/>
      <c r="BF5" s="690"/>
      <c r="BG5" s="9"/>
      <c r="BH5" s="10"/>
      <c r="BI5" s="10"/>
      <c r="BJ5" s="653"/>
      <c r="BK5" s="653"/>
      <c r="BL5" s="653"/>
      <c r="BM5" s="653"/>
      <c r="BN5" s="653"/>
      <c r="BO5" s="653"/>
      <c r="BP5" s="653"/>
      <c r="BQ5" s="653"/>
      <c r="BR5" s="653"/>
      <c r="BS5" s="726"/>
      <c r="BT5" s="726"/>
      <c r="BU5" s="726"/>
      <c r="BV5" s="653"/>
      <c r="BW5" s="693"/>
      <c r="BX5" s="680"/>
      <c r="BY5" s="653"/>
      <c r="BZ5" s="653"/>
      <c r="CA5" s="653"/>
      <c r="CB5" s="653"/>
      <c r="CC5" s="653"/>
      <c r="CD5" s="653"/>
      <c r="CE5" s="653"/>
      <c r="CF5" s="653"/>
      <c r="CG5" s="653"/>
      <c r="CH5" s="653"/>
      <c r="CI5" s="653"/>
      <c r="CJ5" s="653"/>
      <c r="CK5" s="653"/>
      <c r="CL5" s="653"/>
      <c r="CM5" s="681"/>
      <c r="CN5" s="697"/>
      <c r="CO5" s="653"/>
      <c r="CP5" s="653"/>
      <c r="CQ5" s="653"/>
      <c r="CR5" s="653"/>
      <c r="CS5" s="653"/>
      <c r="CT5" s="653"/>
      <c r="CU5" s="653"/>
      <c r="CV5" s="653"/>
      <c r="CW5" s="653"/>
      <c r="CX5" s="653"/>
      <c r="CY5" s="653"/>
      <c r="CZ5" s="653"/>
      <c r="DA5" s="653"/>
      <c r="DB5" s="653"/>
      <c r="DC5" s="693"/>
      <c r="DD5" s="680"/>
      <c r="DE5" s="653"/>
      <c r="DF5" s="653"/>
      <c r="DG5" s="653"/>
      <c r="DH5" s="653"/>
      <c r="DI5" s="653"/>
      <c r="DJ5" s="653"/>
      <c r="DK5" s="653"/>
      <c r="DL5" s="653"/>
      <c r="DM5" s="653"/>
      <c r="DN5" s="653"/>
      <c r="DO5" s="681"/>
      <c r="DP5" s="680"/>
      <c r="DQ5" s="681"/>
      <c r="DR5" s="680"/>
      <c r="DS5" s="681"/>
      <c r="DT5" s="697"/>
      <c r="DU5" s="693"/>
      <c r="DV5" s="653"/>
      <c r="DW5" s="653"/>
      <c r="DX5" s="681"/>
      <c r="DY5" s="680"/>
      <c r="DZ5" s="653"/>
      <c r="EA5" s="681"/>
      <c r="EB5" s="697"/>
      <c r="EC5" s="653"/>
      <c r="ED5" s="653"/>
      <c r="EE5" s="653"/>
      <c r="EF5" s="653"/>
      <c r="EG5" s="653"/>
      <c r="EH5" s="653"/>
      <c r="EI5" s="653"/>
      <c r="EJ5" s="693"/>
      <c r="EK5" s="680"/>
      <c r="EL5" s="653"/>
      <c r="EM5" s="681"/>
      <c r="EN5" s="658"/>
      <c r="EO5" s="659"/>
      <c r="EP5" s="680"/>
      <c r="EQ5" s="653"/>
      <c r="ER5" s="681"/>
    </row>
    <row r="6" spans="1:148" s="16" customFormat="1" ht="153" customHeight="1" thickBot="1">
      <c r="A6" s="684"/>
      <c r="B6" s="716"/>
      <c r="C6" s="670"/>
      <c r="D6" s="682"/>
      <c r="E6" s="686"/>
      <c r="F6" s="687"/>
      <c r="G6" s="698"/>
      <c r="H6" s="654"/>
      <c r="I6" s="654"/>
      <c r="J6" s="694"/>
      <c r="K6" s="670"/>
      <c r="L6" s="654"/>
      <c r="M6" s="654"/>
      <c r="N6" s="682"/>
      <c r="O6" s="670"/>
      <c r="P6" s="654"/>
      <c r="Q6" s="654"/>
      <c r="R6" s="682"/>
      <c r="S6" s="670"/>
      <c r="T6" s="654"/>
      <c r="U6" s="654"/>
      <c r="V6" s="682"/>
      <c r="W6" s="670"/>
      <c r="X6" s="654"/>
      <c r="Y6" s="654"/>
      <c r="Z6" s="682"/>
      <c r="AA6" s="670"/>
      <c r="AB6" s="654"/>
      <c r="AC6" s="654"/>
      <c r="AD6" s="682"/>
      <c r="AE6" s="670"/>
      <c r="AF6" s="654"/>
      <c r="AG6" s="654"/>
      <c r="AH6" s="654"/>
      <c r="AI6" s="682"/>
      <c r="AJ6" s="670"/>
      <c r="AK6" s="654"/>
      <c r="AL6" s="654"/>
      <c r="AM6" s="694"/>
      <c r="AN6" s="674"/>
      <c r="AO6" s="674"/>
      <c r="AP6" s="674"/>
      <c r="AQ6" s="674"/>
      <c r="AR6" s="13"/>
      <c r="AS6" s="13"/>
      <c r="AT6" s="654"/>
      <c r="AU6" s="654"/>
      <c r="AV6" s="654"/>
      <c r="AW6" s="654"/>
      <c r="AX6" s="654"/>
      <c r="AY6" s="654"/>
      <c r="AZ6" s="654"/>
      <c r="BA6" s="654"/>
      <c r="BB6" s="654"/>
      <c r="BC6" s="691"/>
      <c r="BD6" s="691"/>
      <c r="BE6" s="691"/>
      <c r="BF6" s="691"/>
      <c r="BG6" s="14"/>
      <c r="BH6" s="15"/>
      <c r="BI6" s="15"/>
      <c r="BJ6" s="654"/>
      <c r="BK6" s="654"/>
      <c r="BL6" s="654"/>
      <c r="BM6" s="654"/>
      <c r="BN6" s="654"/>
      <c r="BO6" s="654"/>
      <c r="BP6" s="654"/>
      <c r="BQ6" s="654"/>
      <c r="BR6" s="654"/>
      <c r="BS6" s="727"/>
      <c r="BT6" s="727"/>
      <c r="BU6" s="727"/>
      <c r="BV6" s="654"/>
      <c r="BW6" s="694"/>
      <c r="BX6" s="670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82"/>
      <c r="CN6" s="698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54"/>
      <c r="DB6" s="654"/>
      <c r="DC6" s="694"/>
      <c r="DD6" s="670"/>
      <c r="DE6" s="654"/>
      <c r="DF6" s="654"/>
      <c r="DG6" s="654"/>
      <c r="DH6" s="654"/>
      <c r="DI6" s="654"/>
      <c r="DJ6" s="654"/>
      <c r="DK6" s="654"/>
      <c r="DL6" s="654"/>
      <c r="DM6" s="654"/>
      <c r="DN6" s="654"/>
      <c r="DO6" s="682"/>
      <c r="DP6" s="670"/>
      <c r="DQ6" s="682"/>
      <c r="DR6" s="670"/>
      <c r="DS6" s="682"/>
      <c r="DT6" s="698"/>
      <c r="DU6" s="694"/>
      <c r="DV6" s="654"/>
      <c r="DW6" s="654"/>
      <c r="DX6" s="682"/>
      <c r="DY6" s="670"/>
      <c r="DZ6" s="654"/>
      <c r="EA6" s="682"/>
      <c r="EB6" s="698"/>
      <c r="EC6" s="654"/>
      <c r="ED6" s="654"/>
      <c r="EE6" s="654"/>
      <c r="EF6" s="654"/>
      <c r="EG6" s="654"/>
      <c r="EH6" s="654"/>
      <c r="EI6" s="654"/>
      <c r="EJ6" s="694"/>
      <c r="EK6" s="670"/>
      <c r="EL6" s="654"/>
      <c r="EM6" s="682"/>
      <c r="EN6" s="660"/>
      <c r="EO6" s="661"/>
      <c r="EP6" s="680"/>
      <c r="EQ6" s="653"/>
      <c r="ER6" s="681"/>
    </row>
    <row r="7" spans="1:148" s="16" customFormat="1" ht="16.5" thickBot="1">
      <c r="A7" s="684"/>
      <c r="B7" s="716"/>
      <c r="C7" s="677" t="s">
        <v>33</v>
      </c>
      <c r="D7" s="688"/>
      <c r="E7" s="677" t="s">
        <v>34</v>
      </c>
      <c r="F7" s="688"/>
      <c r="G7" s="699" t="s">
        <v>35</v>
      </c>
      <c r="H7" s="655"/>
      <c r="I7" s="655"/>
      <c r="J7" s="678"/>
      <c r="K7" s="677" t="s">
        <v>36</v>
      </c>
      <c r="L7" s="655"/>
      <c r="M7" s="655"/>
      <c r="N7" s="688"/>
      <c r="O7" s="677" t="s">
        <v>37</v>
      </c>
      <c r="P7" s="655"/>
      <c r="Q7" s="655"/>
      <c r="R7" s="688"/>
      <c r="S7" s="677" t="s">
        <v>38</v>
      </c>
      <c r="T7" s="655"/>
      <c r="U7" s="655"/>
      <c r="V7" s="688"/>
      <c r="W7" s="677" t="s">
        <v>39</v>
      </c>
      <c r="X7" s="655"/>
      <c r="Y7" s="655"/>
      <c r="Z7" s="688"/>
      <c r="AA7" s="677" t="s">
        <v>40</v>
      </c>
      <c r="AB7" s="655"/>
      <c r="AC7" s="655"/>
      <c r="AD7" s="688"/>
      <c r="AE7" s="677" t="s">
        <v>41</v>
      </c>
      <c r="AF7" s="655"/>
      <c r="AG7" s="655"/>
      <c r="AH7" s="655"/>
      <c r="AI7" s="688"/>
      <c r="AJ7" s="677" t="s">
        <v>42</v>
      </c>
      <c r="AK7" s="655"/>
      <c r="AL7" s="655"/>
      <c r="AM7" s="678"/>
      <c r="AN7" s="705" t="s">
        <v>43</v>
      </c>
      <c r="AO7" s="705"/>
      <c r="AP7" s="705"/>
      <c r="AQ7" s="705"/>
      <c r="AR7" s="17"/>
      <c r="AS7" s="17"/>
      <c r="AT7" s="655" t="s">
        <v>44</v>
      </c>
      <c r="AU7" s="655"/>
      <c r="AV7" s="655"/>
      <c r="AW7" s="655"/>
      <c r="AX7" s="655" t="s">
        <v>45</v>
      </c>
      <c r="AY7" s="655"/>
      <c r="AZ7" s="655"/>
      <c r="BA7" s="655"/>
      <c r="BB7" s="655"/>
      <c r="BC7" s="655" t="s">
        <v>46</v>
      </c>
      <c r="BD7" s="655"/>
      <c r="BE7" s="655"/>
      <c r="BF7" s="655"/>
      <c r="BG7" s="18"/>
      <c r="BH7" s="19"/>
      <c r="BI7" s="19"/>
      <c r="BJ7" s="655" t="s">
        <v>47</v>
      </c>
      <c r="BK7" s="655"/>
      <c r="BL7" s="655"/>
      <c r="BM7" s="655"/>
      <c r="BN7" s="724" t="s">
        <v>48</v>
      </c>
      <c r="BO7" s="724"/>
      <c r="BP7" s="724"/>
      <c r="BQ7" s="724"/>
      <c r="BR7" s="724"/>
      <c r="BS7" s="655" t="s">
        <v>49</v>
      </c>
      <c r="BT7" s="655"/>
      <c r="BU7" s="655"/>
      <c r="BV7" s="655" t="s">
        <v>50</v>
      </c>
      <c r="BW7" s="678"/>
      <c r="BX7" s="677" t="s">
        <v>51</v>
      </c>
      <c r="BY7" s="655"/>
      <c r="BZ7" s="655"/>
      <c r="CA7" s="655"/>
      <c r="CB7" s="655"/>
      <c r="CC7" s="655"/>
      <c r="CD7" s="655"/>
      <c r="CE7" s="655"/>
      <c r="CF7" s="655"/>
      <c r="CG7" s="655"/>
      <c r="CH7" s="655"/>
      <c r="CI7" s="655"/>
      <c r="CJ7" s="655"/>
      <c r="CK7" s="655"/>
      <c r="CL7" s="655"/>
      <c r="CM7" s="688"/>
      <c r="CN7" s="699" t="s">
        <v>52</v>
      </c>
      <c r="CO7" s="655"/>
      <c r="CP7" s="655"/>
      <c r="CQ7" s="655"/>
      <c r="CR7" s="655"/>
      <c r="CS7" s="655"/>
      <c r="CT7" s="655"/>
      <c r="CU7" s="655"/>
      <c r="CV7" s="655"/>
      <c r="CW7" s="655"/>
      <c r="CX7" s="655"/>
      <c r="CY7" s="655"/>
      <c r="CZ7" s="655"/>
      <c r="DA7" s="655"/>
      <c r="DB7" s="655"/>
      <c r="DC7" s="678"/>
      <c r="DD7" s="677" t="s">
        <v>53</v>
      </c>
      <c r="DE7" s="655"/>
      <c r="DF7" s="655"/>
      <c r="DG7" s="655"/>
      <c r="DH7" s="655"/>
      <c r="DI7" s="655"/>
      <c r="DJ7" s="655"/>
      <c r="DK7" s="655"/>
      <c r="DL7" s="655"/>
      <c r="DM7" s="655"/>
      <c r="DN7" s="655"/>
      <c r="DO7" s="688"/>
      <c r="DP7" s="677" t="s">
        <v>54</v>
      </c>
      <c r="DQ7" s="688"/>
      <c r="DR7" s="677" t="s">
        <v>55</v>
      </c>
      <c r="DS7" s="688"/>
      <c r="DT7" s="699" t="s">
        <v>56</v>
      </c>
      <c r="DU7" s="678"/>
      <c r="DV7" s="655" t="s">
        <v>57</v>
      </c>
      <c r="DW7" s="655"/>
      <c r="DX7" s="688"/>
      <c r="DY7" s="677" t="s">
        <v>58</v>
      </c>
      <c r="DZ7" s="655"/>
      <c r="EA7" s="688"/>
      <c r="EB7" s="699" t="s">
        <v>59</v>
      </c>
      <c r="EC7" s="655"/>
      <c r="ED7" s="655"/>
      <c r="EE7" s="655" t="s">
        <v>60</v>
      </c>
      <c r="EF7" s="655"/>
      <c r="EG7" s="655"/>
      <c r="EH7" s="655" t="s">
        <v>61</v>
      </c>
      <c r="EI7" s="655"/>
      <c r="EJ7" s="678"/>
      <c r="EK7" s="677" t="s">
        <v>63</v>
      </c>
      <c r="EL7" s="655"/>
      <c r="EM7" s="688"/>
      <c r="EN7" s="662" t="s">
        <v>62</v>
      </c>
      <c r="EO7" s="663"/>
      <c r="EP7" s="708"/>
      <c r="EQ7" s="668"/>
      <c r="ER7" s="709"/>
    </row>
    <row r="8" spans="1:148" s="16" customFormat="1" ht="111.75" customHeight="1" thickBot="1">
      <c r="A8" s="684"/>
      <c r="B8" s="716"/>
      <c r="C8" s="669" t="s">
        <v>64</v>
      </c>
      <c r="D8" s="671" t="s">
        <v>65</v>
      </c>
      <c r="E8" s="669" t="s">
        <v>64</v>
      </c>
      <c r="F8" s="671" t="s">
        <v>65</v>
      </c>
      <c r="G8" s="696" t="s">
        <v>66</v>
      </c>
      <c r="H8" s="652" t="s">
        <v>67</v>
      </c>
      <c r="I8" s="652" t="s">
        <v>64</v>
      </c>
      <c r="J8" s="675" t="s">
        <v>65</v>
      </c>
      <c r="K8" s="669" t="s">
        <v>67</v>
      </c>
      <c r="L8" s="652" t="s">
        <v>68</v>
      </c>
      <c r="M8" s="652" t="s">
        <v>64</v>
      </c>
      <c r="N8" s="671" t="s">
        <v>65</v>
      </c>
      <c r="O8" s="669" t="s">
        <v>67</v>
      </c>
      <c r="P8" s="652" t="s">
        <v>69</v>
      </c>
      <c r="Q8" s="652" t="s">
        <v>64</v>
      </c>
      <c r="R8" s="671" t="s">
        <v>65</v>
      </c>
      <c r="S8" s="669" t="s">
        <v>70</v>
      </c>
      <c r="T8" s="652" t="s">
        <v>71</v>
      </c>
      <c r="U8" s="652" t="s">
        <v>64</v>
      </c>
      <c r="V8" s="671" t="s">
        <v>65</v>
      </c>
      <c r="W8" s="669" t="s">
        <v>72</v>
      </c>
      <c r="X8" s="652" t="s">
        <v>73</v>
      </c>
      <c r="Y8" s="652" t="s">
        <v>64</v>
      </c>
      <c r="Z8" s="671" t="s">
        <v>65</v>
      </c>
      <c r="AA8" s="669" t="s">
        <v>74</v>
      </c>
      <c r="AB8" s="652" t="s">
        <v>75</v>
      </c>
      <c r="AC8" s="652" t="s">
        <v>64</v>
      </c>
      <c r="AD8" s="671" t="s">
        <v>65</v>
      </c>
      <c r="AE8" s="669" t="s">
        <v>76</v>
      </c>
      <c r="AF8" s="652" t="s">
        <v>77</v>
      </c>
      <c r="AG8" s="652" t="s">
        <v>78</v>
      </c>
      <c r="AH8" s="652" t="s">
        <v>64</v>
      </c>
      <c r="AI8" s="671" t="s">
        <v>65</v>
      </c>
      <c r="AJ8" s="669" t="s">
        <v>154</v>
      </c>
      <c r="AK8" s="652" t="s">
        <v>155</v>
      </c>
      <c r="AL8" s="652" t="s">
        <v>64</v>
      </c>
      <c r="AM8" s="675" t="s">
        <v>65</v>
      </c>
      <c r="AN8" s="673" t="s">
        <v>79</v>
      </c>
      <c r="AO8" s="673" t="s">
        <v>80</v>
      </c>
      <c r="AP8" s="673" t="s">
        <v>64</v>
      </c>
      <c r="AQ8" s="700" t="s">
        <v>81</v>
      </c>
      <c r="AR8" s="20"/>
      <c r="AS8" s="702" t="s">
        <v>82</v>
      </c>
      <c r="AT8" s="652" t="s">
        <v>82</v>
      </c>
      <c r="AU8" s="652" t="s">
        <v>83</v>
      </c>
      <c r="AV8" s="652" t="s">
        <v>64</v>
      </c>
      <c r="AW8" s="700" t="s">
        <v>65</v>
      </c>
      <c r="AX8" s="652" t="s">
        <v>84</v>
      </c>
      <c r="AY8" s="652" t="s">
        <v>85</v>
      </c>
      <c r="AZ8" s="652"/>
      <c r="BA8" s="673" t="s">
        <v>86</v>
      </c>
      <c r="BB8" s="673" t="s">
        <v>87</v>
      </c>
      <c r="BC8" s="652" t="s">
        <v>88</v>
      </c>
      <c r="BD8" s="652" t="s">
        <v>89</v>
      </c>
      <c r="BE8" s="652" t="s">
        <v>64</v>
      </c>
      <c r="BF8" s="700" t="s">
        <v>65</v>
      </c>
      <c r="BG8" s="21"/>
      <c r="BH8" s="21"/>
      <c r="BI8" s="21"/>
      <c r="BJ8" s="673" t="s">
        <v>90</v>
      </c>
      <c r="BK8" s="652" t="s">
        <v>91</v>
      </c>
      <c r="BL8" s="652" t="s">
        <v>64</v>
      </c>
      <c r="BM8" s="700" t="s">
        <v>65</v>
      </c>
      <c r="BN8" s="673" t="s">
        <v>92</v>
      </c>
      <c r="BO8" s="652" t="s">
        <v>93</v>
      </c>
      <c r="BP8" s="652" t="s">
        <v>94</v>
      </c>
      <c r="BQ8" s="652" t="s">
        <v>64</v>
      </c>
      <c r="BR8" s="700" t="s">
        <v>65</v>
      </c>
      <c r="BS8" s="673" t="s">
        <v>95</v>
      </c>
      <c r="BT8" s="733" t="s">
        <v>64</v>
      </c>
      <c r="BU8" s="700" t="s">
        <v>65</v>
      </c>
      <c r="BV8" s="652" t="s">
        <v>64</v>
      </c>
      <c r="BW8" s="722" t="s">
        <v>65</v>
      </c>
      <c r="BX8" s="706" t="s">
        <v>96</v>
      </c>
      <c r="BY8" s="673"/>
      <c r="BZ8" s="673" t="s">
        <v>156</v>
      </c>
      <c r="CA8" s="673"/>
      <c r="CB8" s="719" t="s">
        <v>97</v>
      </c>
      <c r="CC8" s="720"/>
      <c r="CD8" s="673" t="s">
        <v>151</v>
      </c>
      <c r="CE8" s="673"/>
      <c r="CF8" s="673" t="s">
        <v>161</v>
      </c>
      <c r="CG8" s="673"/>
      <c r="CH8" s="718"/>
      <c r="CI8" s="718"/>
      <c r="CJ8" s="673" t="s">
        <v>98</v>
      </c>
      <c r="CK8" s="673"/>
      <c r="CL8" s="673" t="s">
        <v>105</v>
      </c>
      <c r="CM8" s="707"/>
      <c r="CN8" s="696" t="s">
        <v>99</v>
      </c>
      <c r="CO8" s="652"/>
      <c r="CP8" s="704" t="s">
        <v>152</v>
      </c>
      <c r="CQ8" s="704"/>
      <c r="CR8" s="673" t="s">
        <v>157</v>
      </c>
      <c r="CS8" s="673"/>
      <c r="CT8" s="673" t="s">
        <v>153</v>
      </c>
      <c r="CU8" s="673"/>
      <c r="CV8" s="673" t="s">
        <v>162</v>
      </c>
      <c r="CW8" s="673"/>
      <c r="CX8" s="705" t="s">
        <v>100</v>
      </c>
      <c r="CY8" s="705"/>
      <c r="CZ8" s="705" t="s">
        <v>101</v>
      </c>
      <c r="DA8" s="705"/>
      <c r="DB8" s="705" t="s">
        <v>105</v>
      </c>
      <c r="DC8" s="721"/>
      <c r="DD8" s="706" t="s">
        <v>158</v>
      </c>
      <c r="DE8" s="673"/>
      <c r="DF8" s="673" t="s">
        <v>102</v>
      </c>
      <c r="DG8" s="673"/>
      <c r="DH8" s="673" t="s">
        <v>103</v>
      </c>
      <c r="DI8" s="673"/>
      <c r="DJ8" s="673" t="s">
        <v>159</v>
      </c>
      <c r="DK8" s="673"/>
      <c r="DL8" s="673" t="s">
        <v>104</v>
      </c>
      <c r="DM8" s="673"/>
      <c r="DN8" s="673" t="s">
        <v>105</v>
      </c>
      <c r="DO8" s="712"/>
      <c r="DP8" s="710" t="s">
        <v>64</v>
      </c>
      <c r="DQ8" s="710" t="s">
        <v>65</v>
      </c>
      <c r="DR8" s="669" t="s">
        <v>64</v>
      </c>
      <c r="DS8" s="679" t="s">
        <v>65</v>
      </c>
      <c r="DT8" s="696" t="s">
        <v>64</v>
      </c>
      <c r="DU8" s="692" t="s">
        <v>65</v>
      </c>
      <c r="DV8" s="652" t="s">
        <v>106</v>
      </c>
      <c r="DW8" s="652" t="s">
        <v>64</v>
      </c>
      <c r="DX8" s="679" t="s">
        <v>65</v>
      </c>
      <c r="DY8" s="669" t="s">
        <v>106</v>
      </c>
      <c r="DZ8" s="652" t="s">
        <v>64</v>
      </c>
      <c r="EA8" s="679" t="s">
        <v>65</v>
      </c>
      <c r="EB8" s="696" t="s">
        <v>106</v>
      </c>
      <c r="EC8" s="652" t="s">
        <v>64</v>
      </c>
      <c r="ED8" s="652" t="s">
        <v>65</v>
      </c>
      <c r="EE8" s="652" t="s">
        <v>106</v>
      </c>
      <c r="EF8" s="652" t="s">
        <v>64</v>
      </c>
      <c r="EG8" s="652" t="s">
        <v>65</v>
      </c>
      <c r="EH8" s="652" t="s">
        <v>106</v>
      </c>
      <c r="EI8" s="692" t="s">
        <v>64</v>
      </c>
      <c r="EJ8" s="710" t="s">
        <v>65</v>
      </c>
      <c r="EK8" s="728" t="s">
        <v>106</v>
      </c>
      <c r="EL8" s="718" t="s">
        <v>64</v>
      </c>
      <c r="EM8" s="731" t="s">
        <v>65</v>
      </c>
      <c r="EN8" s="664" t="s">
        <v>64</v>
      </c>
      <c r="EO8" s="666" t="s">
        <v>65</v>
      </c>
      <c r="EP8" s="669" t="s">
        <v>107</v>
      </c>
      <c r="EQ8" s="652" t="s">
        <v>108</v>
      </c>
      <c r="ER8" s="679" t="s">
        <v>110</v>
      </c>
    </row>
    <row r="9" spans="1:148" s="11" customFormat="1" ht="96.75" customHeight="1" thickBot="1">
      <c r="A9" s="686"/>
      <c r="B9" s="717"/>
      <c r="C9" s="670"/>
      <c r="D9" s="672"/>
      <c r="E9" s="670"/>
      <c r="F9" s="672"/>
      <c r="G9" s="698"/>
      <c r="H9" s="654"/>
      <c r="I9" s="654"/>
      <c r="J9" s="676"/>
      <c r="K9" s="670"/>
      <c r="L9" s="654"/>
      <c r="M9" s="654"/>
      <c r="N9" s="672"/>
      <c r="O9" s="670"/>
      <c r="P9" s="654"/>
      <c r="Q9" s="654"/>
      <c r="R9" s="672"/>
      <c r="S9" s="670"/>
      <c r="T9" s="654"/>
      <c r="U9" s="654"/>
      <c r="V9" s="672"/>
      <c r="W9" s="670"/>
      <c r="X9" s="654"/>
      <c r="Y9" s="654"/>
      <c r="Z9" s="672"/>
      <c r="AA9" s="670"/>
      <c r="AB9" s="654"/>
      <c r="AC9" s="654"/>
      <c r="AD9" s="713"/>
      <c r="AE9" s="670"/>
      <c r="AF9" s="654"/>
      <c r="AG9" s="654"/>
      <c r="AH9" s="654"/>
      <c r="AI9" s="672"/>
      <c r="AJ9" s="670"/>
      <c r="AK9" s="654"/>
      <c r="AL9" s="654"/>
      <c r="AM9" s="676"/>
      <c r="AN9" s="674"/>
      <c r="AO9" s="674"/>
      <c r="AP9" s="674"/>
      <c r="AQ9" s="701"/>
      <c r="AR9" s="22"/>
      <c r="AS9" s="703"/>
      <c r="AT9" s="654"/>
      <c r="AU9" s="654"/>
      <c r="AV9" s="654"/>
      <c r="AW9" s="701"/>
      <c r="AX9" s="654"/>
      <c r="AY9" s="14" t="s">
        <v>111</v>
      </c>
      <c r="AZ9" s="14" t="s">
        <v>112</v>
      </c>
      <c r="BA9" s="674"/>
      <c r="BB9" s="674"/>
      <c r="BC9" s="654"/>
      <c r="BD9" s="654"/>
      <c r="BE9" s="654"/>
      <c r="BF9" s="701"/>
      <c r="BG9" s="23"/>
      <c r="BH9" s="23"/>
      <c r="BI9" s="23"/>
      <c r="BJ9" s="674"/>
      <c r="BK9" s="654"/>
      <c r="BL9" s="654"/>
      <c r="BM9" s="701"/>
      <c r="BN9" s="674"/>
      <c r="BO9" s="654"/>
      <c r="BP9" s="654"/>
      <c r="BQ9" s="668"/>
      <c r="BR9" s="701"/>
      <c r="BS9" s="674"/>
      <c r="BT9" s="734"/>
      <c r="BU9" s="701"/>
      <c r="BV9" s="668"/>
      <c r="BW9" s="72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711"/>
      <c r="DQ9" s="711"/>
      <c r="DR9" s="708"/>
      <c r="DS9" s="682"/>
      <c r="DT9" s="698"/>
      <c r="DU9" s="694"/>
      <c r="DV9" s="654"/>
      <c r="DW9" s="654"/>
      <c r="DX9" s="682"/>
      <c r="DY9" s="670"/>
      <c r="DZ9" s="654"/>
      <c r="EA9" s="682"/>
      <c r="EB9" s="698"/>
      <c r="EC9" s="654"/>
      <c r="ED9" s="654"/>
      <c r="EE9" s="654"/>
      <c r="EF9" s="654"/>
      <c r="EG9" s="654"/>
      <c r="EH9" s="654"/>
      <c r="EI9" s="694"/>
      <c r="EJ9" s="711"/>
      <c r="EK9" s="729"/>
      <c r="EL9" s="730"/>
      <c r="EM9" s="732"/>
      <c r="EN9" s="665"/>
      <c r="EO9" s="667"/>
      <c r="EP9" s="670"/>
      <c r="EQ9" s="654"/>
      <c r="ER9" s="682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F26" sqref="F26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512" hidden="1" customWidth="1"/>
    <col min="4" max="4" width="11.375" style="512" hidden="1" customWidth="1"/>
    <col min="5" max="5" width="0.12890625" style="512" customWidth="1"/>
    <col min="6" max="6" width="12.25390625" style="512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195</v>
      </c>
      <c r="G1" s="328" t="s">
        <v>196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509">
        <v>5</v>
      </c>
      <c r="G2" s="649">
        <v>20</v>
      </c>
      <c r="H2" s="510">
        <f aca="true" t="shared" si="0" ref="H2:H25">F2-G2</f>
        <v>-15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509">
        <v>3</v>
      </c>
      <c r="G3" s="649">
        <v>2</v>
      </c>
      <c r="H3" s="510">
        <f t="shared" si="0"/>
        <v>1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509">
        <v>9</v>
      </c>
      <c r="G4" s="649">
        <v>17</v>
      </c>
      <c r="H4" s="510">
        <f t="shared" si="0"/>
        <v>-8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509">
        <v>10</v>
      </c>
      <c r="G5" s="649">
        <v>22</v>
      </c>
      <c r="H5" s="510">
        <f t="shared" si="0"/>
        <v>-12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509">
        <v>4</v>
      </c>
      <c r="G6" s="649">
        <v>4</v>
      </c>
      <c r="H6" s="510">
        <f t="shared" si="0"/>
        <v>0</v>
      </c>
    </row>
    <row r="7" spans="1:8" ht="1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509">
        <v>16</v>
      </c>
      <c r="G7" s="649">
        <v>14</v>
      </c>
      <c r="H7" s="510">
        <f t="shared" si="0"/>
        <v>2</v>
      </c>
    </row>
    <row r="8" spans="1:8" ht="1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509">
        <v>19</v>
      </c>
      <c r="G8" s="649">
        <v>18</v>
      </c>
      <c r="H8" s="510">
        <f t="shared" si="0"/>
        <v>1</v>
      </c>
    </row>
    <row r="9" spans="1:8" ht="1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509">
        <v>2</v>
      </c>
      <c r="G9" s="649">
        <v>1</v>
      </c>
      <c r="H9" s="510">
        <f t="shared" si="0"/>
        <v>1</v>
      </c>
    </row>
    <row r="10" spans="1:8" ht="1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509">
        <v>22</v>
      </c>
      <c r="G10" s="649">
        <v>19</v>
      </c>
      <c r="H10" s="510">
        <f t="shared" si="0"/>
        <v>3</v>
      </c>
    </row>
    <row r="11" spans="1:8" ht="1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509">
        <v>15</v>
      </c>
      <c r="G11" s="649">
        <v>11</v>
      </c>
      <c r="H11" s="510">
        <f t="shared" si="0"/>
        <v>4</v>
      </c>
    </row>
    <row r="12" spans="1:8" ht="1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509">
        <v>12</v>
      </c>
      <c r="G12" s="649">
        <v>15</v>
      </c>
      <c r="H12" s="510">
        <f t="shared" si="0"/>
        <v>-3</v>
      </c>
    </row>
    <row r="13" spans="1:8" ht="1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509">
        <v>21</v>
      </c>
      <c r="G13" s="649">
        <v>21</v>
      </c>
      <c r="H13" s="510">
        <f t="shared" si="0"/>
        <v>0</v>
      </c>
    </row>
    <row r="14" spans="1:8" ht="1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509">
        <v>20</v>
      </c>
      <c r="G14" s="649">
        <v>12</v>
      </c>
      <c r="H14" s="510">
        <f t="shared" si="0"/>
        <v>8</v>
      </c>
    </row>
    <row r="15" spans="1:8" ht="1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509">
        <v>23</v>
      </c>
      <c r="G15" s="649">
        <v>16</v>
      </c>
      <c r="H15" s="510">
        <f t="shared" si="0"/>
        <v>7</v>
      </c>
    </row>
    <row r="16" spans="1:8" ht="1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509">
        <v>18</v>
      </c>
      <c r="G16" s="649">
        <v>10</v>
      </c>
      <c r="H16" s="510">
        <f t="shared" si="0"/>
        <v>8</v>
      </c>
    </row>
    <row r="17" spans="1:8" ht="1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509">
        <v>4</v>
      </c>
      <c r="G17" s="649">
        <v>7</v>
      </c>
      <c r="H17" s="510">
        <f t="shared" si="0"/>
        <v>-3</v>
      </c>
    </row>
    <row r="18" spans="1:8" ht="1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509">
        <v>24</v>
      </c>
      <c r="G18" s="649">
        <v>24</v>
      </c>
      <c r="H18" s="510">
        <f t="shared" si="0"/>
        <v>0</v>
      </c>
    </row>
    <row r="19" spans="1:8" ht="1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509">
        <v>7</v>
      </c>
      <c r="G19" s="649">
        <v>9</v>
      </c>
      <c r="H19" s="510">
        <f t="shared" si="0"/>
        <v>-2</v>
      </c>
    </row>
    <row r="20" spans="1:8" ht="1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509">
        <v>17</v>
      </c>
      <c r="G20" s="649">
        <v>13</v>
      </c>
      <c r="H20" s="510">
        <f t="shared" si="0"/>
        <v>4</v>
      </c>
    </row>
    <row r="21" spans="1:8" ht="1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509">
        <v>6</v>
      </c>
      <c r="G21" s="649">
        <v>5</v>
      </c>
      <c r="H21" s="510">
        <f t="shared" si="0"/>
        <v>1</v>
      </c>
    </row>
    <row r="22" spans="1:8" ht="1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509">
        <v>8</v>
      </c>
      <c r="G22" s="649">
        <v>3</v>
      </c>
      <c r="H22" s="510">
        <f t="shared" si="0"/>
        <v>5</v>
      </c>
    </row>
    <row r="23" spans="1:8" ht="1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509">
        <v>14</v>
      </c>
      <c r="G23" s="649">
        <v>8</v>
      </c>
      <c r="H23" s="510">
        <f t="shared" si="0"/>
        <v>6</v>
      </c>
    </row>
    <row r="24" spans="1:8" ht="1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509">
        <v>13</v>
      </c>
      <c r="G24" s="649">
        <v>6</v>
      </c>
      <c r="H24" s="510">
        <f t="shared" si="0"/>
        <v>7</v>
      </c>
    </row>
    <row r="25" spans="1:8" ht="1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509">
        <v>1</v>
      </c>
      <c r="G25" s="649">
        <v>23</v>
      </c>
      <c r="H25" s="510">
        <f t="shared" si="0"/>
        <v>-22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511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2017-05-24T09:46:50Z</cp:lastPrinted>
  <dcterms:created xsi:type="dcterms:W3CDTF">2014-03-04T06:36:48Z</dcterms:created>
  <dcterms:modified xsi:type="dcterms:W3CDTF">2023-02-19T08:33:03Z</dcterms:modified>
  <cp:category/>
  <cp:version/>
  <cp:contentType/>
  <cp:contentStatus/>
</cp:coreProperties>
</file>